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ukesh\Desktop\"/>
    </mc:Choice>
  </mc:AlternateContent>
  <xr:revisionPtr revIDLastSave="0" documentId="13_ncr:1_{3E35BEEE-1AAB-4C88-B64D-82BE4FE5C59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Draft Survey" sheetId="12" r:id="rId1"/>
  </sheets>
  <definedNames>
    <definedName name="dam">#REF!</definedName>
    <definedName name="depDa">#REF!</definedName>
    <definedName name="depDf">#REF!</definedName>
    <definedName name="dfm">#REF!</definedName>
    <definedName name="haDaft">#REF!</definedName>
    <definedName name="haDfwd">#REF!</definedName>
    <definedName name="hfDaft">#REF!</definedName>
    <definedName name="hfDfwd">#REF!</definedName>
    <definedName name="mReq">#REF!</definedName>
    <definedName name="_xlnm.Print_Area" localSheetId="0">'Draft Survey'!$A$1:$N$64</definedName>
    <definedName name="trimF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4" i="12" l="1"/>
  <c r="N47" i="12"/>
  <c r="S37" i="12"/>
  <c r="I25" i="12"/>
  <c r="M28" i="12"/>
  <c r="P20" i="12"/>
  <c r="U37" i="12" l="1"/>
  <c r="U36" i="12"/>
  <c r="S36" i="12"/>
  <c r="U41" i="12"/>
  <c r="S41" i="12"/>
  <c r="U40" i="12"/>
  <c r="S40" i="12"/>
  <c r="U43" i="12"/>
  <c r="S43" i="12"/>
  <c r="U8" i="12" l="1"/>
  <c r="P49" i="12"/>
  <c r="U46" i="12"/>
  <c r="S46" i="12"/>
  <c r="U45" i="12"/>
  <c r="S45" i="12"/>
  <c r="U44" i="12"/>
  <c r="S44" i="12"/>
  <c r="U31" i="12"/>
  <c r="S31" i="12"/>
  <c r="U30" i="12"/>
  <c r="S30" i="12"/>
  <c r="AB40" i="12"/>
  <c r="AB38" i="12"/>
  <c r="U42" i="12"/>
  <c r="S42" i="12"/>
  <c r="H19" i="12"/>
  <c r="I19" i="12"/>
  <c r="J19" i="12"/>
  <c r="O47" i="12"/>
  <c r="I21" i="12" l="1"/>
  <c r="AD28" i="12"/>
  <c r="Y35" i="12" l="1"/>
  <c r="AE32" i="12" s="1"/>
  <c r="Z40" i="12"/>
  <c r="Z38" i="12"/>
  <c r="Y30" i="12"/>
  <c r="Y25" i="12"/>
  <c r="P21" i="12"/>
  <c r="P39" i="12" l="1"/>
  <c r="Q48" i="12" s="1"/>
  <c r="P34" i="12"/>
  <c r="P28" i="12"/>
  <c r="F22" i="12"/>
  <c r="AA26" i="12"/>
  <c r="AB2" i="12"/>
  <c r="U27" i="12" s="1"/>
  <c r="AA2" i="12"/>
  <c r="U26" i="12" s="1"/>
  <c r="T4" i="12"/>
  <c r="T3" i="12"/>
  <c r="T2" i="12"/>
  <c r="S4" i="12"/>
  <c r="S3" i="12"/>
  <c r="S2" i="12"/>
  <c r="W2" i="12"/>
  <c r="E55" i="12"/>
  <c r="E19" i="12"/>
  <c r="I39" i="12"/>
  <c r="F19" i="12"/>
  <c r="G19" i="12"/>
  <c r="AB3" i="12"/>
  <c r="AB4" i="12"/>
  <c r="AA4" i="12"/>
  <c r="AA3" i="12"/>
  <c r="Z26" i="12"/>
  <c r="Z28" i="12" s="1"/>
  <c r="Z30" i="12" s="1"/>
  <c r="Z33" i="12" s="1"/>
  <c r="AE30" i="12" s="1"/>
  <c r="Z34" i="12" s="1"/>
  <c r="AB26" i="12"/>
  <c r="AB28" i="12" s="1"/>
  <c r="AB30" i="12" s="1"/>
  <c r="AB33" i="12" s="1"/>
  <c r="I52" i="12"/>
  <c r="N30" i="12"/>
  <c r="H55" i="12"/>
  <c r="H54" i="12"/>
  <c r="E54" i="12"/>
  <c r="F52" i="12"/>
  <c r="Q33" i="12" l="1"/>
  <c r="Q28" i="12"/>
  <c r="S34" i="12"/>
  <c r="Q34" i="12"/>
  <c r="E11" i="12"/>
  <c r="AG28" i="12"/>
  <c r="AG30" i="12"/>
  <c r="AE28" i="12"/>
  <c r="X15" i="12"/>
  <c r="AB6" i="12"/>
  <c r="S47" i="12"/>
  <c r="T47" i="12" s="1"/>
  <c r="P47" i="12"/>
  <c r="R47" i="12"/>
  <c r="P22" i="12" s="1"/>
  <c r="X12" i="12"/>
  <c r="U15" i="12"/>
  <c r="Q47" i="12"/>
  <c r="M42" i="12"/>
  <c r="N45" i="12" s="1"/>
  <c r="I22" i="12"/>
  <c r="U47" i="12"/>
  <c r="V47" i="12" s="1"/>
  <c r="D12" i="12"/>
  <c r="F21" i="12"/>
  <c r="F29" i="12" s="1"/>
  <c r="F33" i="12" s="1"/>
  <c r="D11" i="12"/>
  <c r="U4" i="12"/>
  <c r="U18" i="12" s="1"/>
  <c r="U3" i="12"/>
  <c r="U2" i="12"/>
  <c r="T18" i="12" s="1"/>
  <c r="E12" i="12"/>
  <c r="AH30" i="12" l="1"/>
  <c r="AB34" i="12"/>
  <c r="AC33" i="12"/>
  <c r="I31" i="12"/>
  <c r="I35" i="12" s="1"/>
  <c r="Z11" i="12"/>
  <c r="F30" i="12"/>
  <c r="F34" i="12" s="1"/>
  <c r="F31" i="12"/>
  <c r="F35" i="12" s="1"/>
  <c r="U7" i="12"/>
  <c r="Y11" i="12"/>
  <c r="I29" i="12"/>
  <c r="I33" i="12" s="1"/>
  <c r="U5" i="12"/>
  <c r="I30" i="12"/>
  <c r="I34" i="12" s="1"/>
  <c r="U6" i="12"/>
  <c r="F37" i="12" l="1"/>
  <c r="O32" i="12" s="1"/>
  <c r="I37" i="12"/>
  <c r="O38" i="12" s="1"/>
  <c r="U9" i="12"/>
  <c r="I36" i="12"/>
  <c r="F36" i="12"/>
  <c r="I45" i="12" l="1"/>
  <c r="S38" i="12"/>
  <c r="T38" i="12" s="1"/>
  <c r="I49" i="12" s="1"/>
  <c r="I46" i="12"/>
  <c r="H49" i="12"/>
  <c r="H48" i="12"/>
  <c r="E49" i="12"/>
  <c r="Q32" i="12"/>
  <c r="F45" i="12"/>
  <c r="F46" i="12"/>
  <c r="E48" i="12"/>
  <c r="Q38" i="12" l="1"/>
  <c r="I42" i="12" s="1"/>
  <c r="P38" i="12"/>
  <c r="I38" i="12" s="1"/>
  <c r="U38" i="12"/>
  <c r="V38" i="12" s="1"/>
  <c r="I48" i="12" s="1"/>
  <c r="I50" i="12" s="1"/>
  <c r="I51" i="12" s="1"/>
  <c r="R38" i="12"/>
  <c r="U32" i="12"/>
  <c r="V32" i="12" s="1"/>
  <c r="F48" i="12" s="1"/>
  <c r="P32" i="12"/>
  <c r="F38" i="12" s="1"/>
  <c r="F42" i="12"/>
  <c r="S32" i="12"/>
  <c r="T32" i="12" s="1"/>
  <c r="F49" i="12" s="1"/>
  <c r="R32" i="12"/>
  <c r="F43" i="12" s="1"/>
  <c r="I43" i="12" l="1"/>
  <c r="I55" i="12" s="1"/>
  <c r="U11" i="12"/>
  <c r="F44" i="12"/>
  <c r="F50" i="12"/>
  <c r="F51" i="12" s="1"/>
  <c r="F55" i="12"/>
  <c r="F54" i="12"/>
  <c r="I54" i="12" l="1"/>
  <c r="I56" i="12" s="1"/>
  <c r="I57" i="12" s="1"/>
  <c r="I44" i="12"/>
  <c r="AA28" i="12"/>
  <c r="AA30" i="12" s="1"/>
  <c r="AA33" i="12" s="1"/>
  <c r="AF28" i="12" s="1"/>
  <c r="U12" i="12"/>
  <c r="F56" i="12"/>
  <c r="F57" i="12" s="1"/>
  <c r="F58" i="12" s="1"/>
  <c r="F60" i="12" s="1"/>
  <c r="N29" i="12" s="1"/>
  <c r="N31" i="12" s="1"/>
  <c r="N33" i="12" s="1"/>
  <c r="I58" i="12" l="1"/>
  <c r="I60" i="12" s="1"/>
  <c r="AF30" i="12"/>
  <c r="AA34" i="12" s="1"/>
  <c r="W13" i="12"/>
  <c r="U13" i="12"/>
  <c r="N44" i="12" l="1"/>
  <c r="N46" i="12" s="1"/>
  <c r="N48" i="12" s="1"/>
  <c r="W19" i="12"/>
  <c r="W20" i="12" s="1"/>
  <c r="X19" i="12"/>
  <c r="X20" i="12" s="1"/>
  <c r="T19" i="12"/>
  <c r="T20" i="12" s="1"/>
  <c r="U19" i="12"/>
  <c r="U20" i="12" s="1"/>
  <c r="AB35" i="12" l="1"/>
  <c r="AB36" i="12" s="1"/>
  <c r="P50" i="12"/>
  <c r="N49" i="12"/>
  <c r="N50" i="12" s="1"/>
  <c r="U22" i="12"/>
  <c r="U24" i="12" s="1"/>
  <c r="V26" i="12" s="1"/>
  <c r="X16" i="12" s="1"/>
  <c r="Y15" i="12" s="1"/>
  <c r="X22" i="12"/>
  <c r="X24" i="12" s="1"/>
  <c r="X26" i="12" s="1"/>
  <c r="X27" i="12" s="1"/>
  <c r="S53" i="12" l="1"/>
  <c r="V53" i="12" s="1"/>
  <c r="W53" i="12" s="1"/>
  <c r="S51" i="12"/>
  <c r="S50" i="12"/>
  <c r="Z15" i="12"/>
  <c r="V27" i="12"/>
  <c r="X13" i="12" s="1"/>
  <c r="Z12" i="12" s="1"/>
  <c r="Z13" i="12" s="1"/>
  <c r="Y12" i="12" l="1"/>
  <c r="Y13" i="12" s="1"/>
  <c r="Y16" i="12" s="1"/>
  <c r="Z16" i="12"/>
  <c r="Z18" i="1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Ludwig Jodlowski</author>
  </authors>
  <commentList>
    <comment ref="L7" authorId="0" shapeId="0" xr:uid="{00000000-0006-0000-0000-000001000000}">
      <text>
        <r>
          <rPr>
            <b/>
            <sz val="8"/>
            <color indexed="8"/>
            <rFont val="Tahoma"/>
            <family val="2"/>
          </rPr>
          <t>Ludwig Jodlowski:</t>
        </r>
        <r>
          <rPr>
            <sz val="8"/>
            <color indexed="8"/>
            <rFont val="Tahoma"/>
            <family val="2"/>
          </rPr>
          <t xml:space="preserve">
</t>
        </r>
        <r>
          <rPr>
            <sz val="8"/>
            <color indexed="8"/>
            <rFont val="Tahoma"/>
            <family val="2"/>
          </rPr>
          <t>MEG File: 1906-3333</t>
        </r>
      </text>
    </comment>
    <comment ref="P61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Ludwig Jodlowski:</t>
        </r>
        <r>
          <rPr>
            <sz val="8"/>
            <color indexed="81"/>
            <rFont val="Tahoma"/>
            <family val="2"/>
          </rPr>
          <t xml:space="preserve">
MEG File: 1906-3333</t>
        </r>
      </text>
    </comment>
  </commentList>
</comments>
</file>

<file path=xl/sharedStrings.xml><?xml version="1.0" encoding="utf-8"?>
<sst xmlns="http://schemas.openxmlformats.org/spreadsheetml/2006/main" count="251" uniqueCount="164">
  <si>
    <t>LBP</t>
  </si>
  <si>
    <t>LCF</t>
  </si>
  <si>
    <t>TPC</t>
  </si>
  <si>
    <t>Aft</t>
  </si>
  <si>
    <t>AFT</t>
  </si>
  <si>
    <t>FWD</t>
  </si>
  <si>
    <t>INITIAL</t>
  </si>
  <si>
    <t>KNOWN WEIGHTS</t>
  </si>
  <si>
    <t>MID</t>
  </si>
  <si>
    <t>OBSERVED DRAFTS:</t>
  </si>
  <si>
    <t>PORT</t>
  </si>
  <si>
    <t>STARBD</t>
  </si>
  <si>
    <t>MEAN</t>
  </si>
  <si>
    <t>INITIAL DEDUCTABLES</t>
  </si>
  <si>
    <t>OBSERVED DENSITY</t>
  </si>
  <si>
    <t>*</t>
  </si>
  <si>
    <t>BALLAST</t>
  </si>
  <si>
    <t>TRIM BETWEEN MARKS</t>
  </si>
  <si>
    <t>F.O.</t>
  </si>
  <si>
    <t>LENGTH BETWEEN MARKS</t>
  </si>
  <si>
    <t>D.O.</t>
  </si>
  <si>
    <t>Dist. from Marks to Perpendiculars</t>
  </si>
  <si>
    <t>LUB OIL</t>
  </si>
  <si>
    <t>Positive if Perpen. aft. of Mark</t>
  </si>
  <si>
    <t>F.W.</t>
  </si>
  <si>
    <t>Fwd.</t>
  </si>
  <si>
    <t>Midships</t>
  </si>
  <si>
    <t>TOTAL</t>
  </si>
  <si>
    <t>Corrections to Draft at Marks</t>
  </si>
  <si>
    <t>Corrected Initial Displacement:</t>
  </si>
  <si>
    <t>Initial Deductables:</t>
  </si>
  <si>
    <t>Initial Net Displacement:</t>
  </si>
  <si>
    <t>DRAFTS AT PERPENDICULARS</t>
  </si>
  <si>
    <t>FINAL DEDUCTABLES</t>
  </si>
  <si>
    <t>TRIM BETWEEN PERPENDICULARS</t>
  </si>
  <si>
    <t>MEAN OF MEANS</t>
  </si>
  <si>
    <t>DISPLACEMENT FROM TABLE</t>
  </si>
  <si>
    <t>Dist. from Midpoint to LCF</t>
  </si>
  <si>
    <t>Negative if LCF aft of midpoint</t>
  </si>
  <si>
    <t>FIRST TRIM CORRECTION</t>
  </si>
  <si>
    <t>Corrected Final Displacement:</t>
  </si>
  <si>
    <t>MEAN OF MEANS + 0.50</t>
  </si>
  <si>
    <t>Final Deductables:</t>
  </si>
  <si>
    <t>MEAN OF MEANS - 0.50</t>
  </si>
  <si>
    <t>Final Net Displacement:</t>
  </si>
  <si>
    <t>SECOND TRIM CORRECTION CALC.</t>
  </si>
  <si>
    <t>AT M/M + 0.50</t>
  </si>
  <si>
    <t>AT M/M - 0.50</t>
  </si>
  <si>
    <t>DIFF. OF MTC's</t>
  </si>
  <si>
    <t>SECOND TRIM CORRECTION</t>
  </si>
  <si>
    <t>DIFF. BETWEEN MIDSHIPS DRAFT</t>
  </si>
  <si>
    <t>HEEL CORRECTION CALCULATION</t>
  </si>
  <si>
    <t>-</t>
  </si>
  <si>
    <t>TPC AT MIDSHIPS DRAFT PORT</t>
  </si>
  <si>
    <t>TPC AT MIDSHIPS DRAFT STARBD</t>
  </si>
  <si>
    <t>DIFFERENCE BETWEEN TPC</t>
  </si>
  <si>
    <t>HEEL CORRECTION</t>
  </si>
  <si>
    <t>DISPLACEMENT CORRECTED</t>
  </si>
  <si>
    <t>DENSITY OF HYDROSTATIC TABLES</t>
  </si>
  <si>
    <t>CORRECTED DISPLACEMENT</t>
  </si>
  <si>
    <t>Constant</t>
  </si>
  <si>
    <t>Light Ship</t>
  </si>
  <si>
    <t>Port:</t>
  </si>
  <si>
    <t>Cargo:</t>
  </si>
  <si>
    <t>Operation:</t>
  </si>
  <si>
    <t>Initial Sag/Hog:</t>
  </si>
  <si>
    <t>Final Sag/Hog:</t>
  </si>
  <si>
    <t>cm</t>
  </si>
  <si>
    <t>Total</t>
  </si>
  <si>
    <t>Loading</t>
  </si>
  <si>
    <t>CARGO TM</t>
  </si>
  <si>
    <t>CARGO LT</t>
  </si>
  <si>
    <t>CARGO ST</t>
  </si>
  <si>
    <t>VESSEL:</t>
  </si>
  <si>
    <t>Weight</t>
  </si>
  <si>
    <t>Master/Chief Officer</t>
  </si>
  <si>
    <t>DRAFT</t>
  </si>
  <si>
    <t>DISPL</t>
  </si>
  <si>
    <t>MCTC-50</t>
  </si>
  <si>
    <t>MCTC+50</t>
  </si>
  <si>
    <t>WD</t>
  </si>
  <si>
    <t>STBD</t>
  </si>
  <si>
    <t>DENSITY</t>
  </si>
  <si>
    <t>TRIMMING VALUES</t>
  </si>
  <si>
    <t>TRIM</t>
  </si>
  <si>
    <t>Hog/Sag</t>
  </si>
  <si>
    <t>ALGEBRIC SUM</t>
  </si>
  <si>
    <t>FWD &amp; AFT MEAN</t>
  </si>
  <si>
    <t>LIMITING DRAFT</t>
  </si>
  <si>
    <t>ALLOWABLE SINKAGE</t>
  </si>
  <si>
    <t>CHECK CALCULATION</t>
  </si>
  <si>
    <t xml:space="preserve"> TPC AT MID/MEAN DRAFT</t>
  </si>
  <si>
    <t>TPC CORRECTED FOR DENSITY</t>
  </si>
  <si>
    <t>BALANCE CARGO TO LOAD</t>
  </si>
  <si>
    <t>MT</t>
  </si>
  <si>
    <t xml:space="preserve">        LOADING ALL CARGO IN </t>
  </si>
  <si>
    <t>MIDSHIP DRAFT</t>
  </si>
  <si>
    <t>MTRS</t>
  </si>
  <si>
    <t xml:space="preserve">    TRIM CHANGE</t>
  </si>
  <si>
    <t xml:space="preserve">         SAILING TRIM</t>
  </si>
  <si>
    <t xml:space="preserve">   TRIM TO NEGATE</t>
  </si>
  <si>
    <t>CARGO TO LOAD IN</t>
  </si>
  <si>
    <t>SD</t>
  </si>
  <si>
    <t>DD</t>
  </si>
  <si>
    <t>DATE</t>
  </si>
  <si>
    <t>K.C</t>
  </si>
  <si>
    <t>FWA</t>
  </si>
  <si>
    <t>MAX</t>
  </si>
  <si>
    <t>REQUESTED</t>
  </si>
  <si>
    <t>MY</t>
  </si>
  <si>
    <t>SHORE</t>
  </si>
  <si>
    <t>REMARKS:</t>
  </si>
  <si>
    <t>REPORT OF WEIGHT - DRAFT SURVEY</t>
  </si>
  <si>
    <t>mm</t>
  </si>
  <si>
    <t>TRIMMING</t>
  </si>
  <si>
    <t>ISSUED AT LOADING PORT.</t>
  </si>
  <si>
    <t>DIFF</t>
  </si>
  <si>
    <t>Summer</t>
  </si>
  <si>
    <t>FINAL</t>
  </si>
  <si>
    <t>At Winter</t>
  </si>
  <si>
    <t>At Summer</t>
  </si>
  <si>
    <t>Pellets</t>
  </si>
  <si>
    <t>WEIGHT</t>
  </si>
  <si>
    <t>FWD DT</t>
  </si>
  <si>
    <t>MID DT</t>
  </si>
  <si>
    <t>AFT DT</t>
  </si>
  <si>
    <t>FWD IDT</t>
  </si>
  <si>
    <t>AFT IDT</t>
  </si>
  <si>
    <t>Final DT fwd</t>
  </si>
  <si>
    <t>Final DT mid</t>
  </si>
  <si>
    <t>MID IDT</t>
  </si>
  <si>
    <t>Final DT Aft</t>
  </si>
  <si>
    <t>Trimimg and final drafts</t>
  </si>
  <si>
    <t>Readable Side</t>
  </si>
  <si>
    <t>Fwd</t>
  </si>
  <si>
    <t>Mid</t>
  </si>
  <si>
    <t xml:space="preserve">Other Side </t>
  </si>
  <si>
    <t>Appx TTL CGO</t>
  </si>
  <si>
    <t>Diff</t>
  </si>
  <si>
    <t xml:space="preserve">Trim </t>
  </si>
  <si>
    <t>HOG</t>
  </si>
  <si>
    <t>HOG EXP</t>
  </si>
  <si>
    <t>SAG EXP</t>
  </si>
  <si>
    <t>Pmx</t>
  </si>
  <si>
    <t>HOLD 5</t>
  </si>
  <si>
    <t>CARGO NUMBER TO BE CHECKED</t>
  </si>
  <si>
    <t>Belt Error</t>
  </si>
  <si>
    <t>%</t>
  </si>
  <si>
    <t>mt</t>
  </si>
  <si>
    <t>Apx trim Qty</t>
  </si>
  <si>
    <t>Error of Trim Qty</t>
  </si>
  <si>
    <t>OTHERS</t>
  </si>
  <si>
    <t>.</t>
  </si>
  <si>
    <t>HOLD 2</t>
  </si>
  <si>
    <t>CON</t>
  </si>
  <si>
    <t>HOLD 8</t>
  </si>
  <si>
    <t>M.V. NAVIOS FULVIA</t>
  </si>
  <si>
    <t>Q-26-029</t>
  </si>
  <si>
    <t>DOCK 1</t>
  </si>
  <si>
    <r>
      <t xml:space="preserve">                    On Behalf of - </t>
    </r>
    <r>
      <rPr>
        <b/>
        <sz val="11"/>
        <rFont val="Arial"/>
        <family val="2"/>
      </rPr>
      <t>XYZ</t>
    </r>
  </si>
  <si>
    <t xml:space="preserve">                                                                                                                </t>
  </si>
  <si>
    <t xml:space="preserve">                                                                                                        </t>
  </si>
  <si>
    <t xml:space="preserve">      </t>
  </si>
  <si>
    <r>
      <t xml:space="preserve">                                                </t>
    </r>
    <r>
      <rPr>
        <b/>
        <u/>
        <sz val="11"/>
        <rFont val="Arial"/>
        <family val="2"/>
      </rPr>
      <t>Mukesh Kumar Mukul</t>
    </r>
    <r>
      <rPr>
        <u/>
        <sz val="11"/>
        <rFont val="Arial"/>
        <family val="2"/>
      </rPr>
      <t xml:space="preserve"> of  Comapany name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</si>
</sst>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(* #,##0.00_);_(* \(#,##0.00\);_(* &quot;-&quot;??_);_(@_)"/>
    <numFmt numFmtId="165" formatCode="0.0"/>
    <numFmt numFmtId="166" formatCode="0.000"/>
    <numFmt numFmtId="167" formatCode="0.00000"/>
    <numFmt numFmtId="168" formatCode="0.0000"/>
    <numFmt numFmtId="169" formatCode="#,##0.00\ _z_ł"/>
    <numFmt numFmtId="170" formatCode="[$-F400]h:mm:ss\ AM/PM"/>
    <numFmt numFmtId="171" formatCode="_(* #,##0_);_(* \(#,##0\);_(* &quot;-&quot;??_);_(@_)"/>
    <numFmt numFmtId="172" formatCode="[$-1009]d/mmm/yy;@"/>
  </numFmts>
  <fonts count="6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name val="Times New Roman"/>
      <family val="1"/>
    </font>
    <font>
      <sz val="11"/>
      <name val="Arial"/>
      <family val="2"/>
    </font>
    <font>
      <b/>
      <sz val="11"/>
      <name val="Times New Roman"/>
      <family val="1"/>
    </font>
    <font>
      <b/>
      <i/>
      <sz val="11"/>
      <name val="Arial"/>
      <family val="2"/>
      <charset val="238"/>
    </font>
    <font>
      <b/>
      <i/>
      <sz val="11"/>
      <name val="Times New Roman"/>
      <family val="1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melia BT"/>
      <family val="5"/>
      <charset val="238"/>
    </font>
    <font>
      <sz val="11"/>
      <name val="Amelia BT"/>
      <family val="5"/>
      <charset val="238"/>
    </font>
    <font>
      <b/>
      <sz val="11"/>
      <name val="Arial"/>
      <family val="2"/>
    </font>
    <font>
      <b/>
      <i/>
      <sz val="11"/>
      <name val="Times New Roman"/>
      <family val="1"/>
      <charset val="238"/>
    </font>
    <font>
      <b/>
      <i/>
      <sz val="11"/>
      <name val="Times New Roman"/>
      <family val="1"/>
    </font>
    <font>
      <b/>
      <sz val="11"/>
      <name val="Times New Roman"/>
      <family val="1"/>
    </font>
    <font>
      <i/>
      <sz val="11"/>
      <name val="Arial"/>
      <family val="2"/>
      <charset val="238"/>
    </font>
    <font>
      <sz val="10"/>
      <name val="Times New Roman"/>
      <family val="1"/>
    </font>
    <font>
      <b/>
      <sz val="11"/>
      <color indexed="10"/>
      <name val="Arial"/>
      <family val="2"/>
      <charset val="238"/>
    </font>
    <font>
      <b/>
      <sz val="22"/>
      <name val="Britannic Bold"/>
      <family val="2"/>
    </font>
    <font>
      <b/>
      <i/>
      <sz val="11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4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0"/>
      <name val="Courier New"/>
      <family val="3"/>
    </font>
    <font>
      <sz val="10"/>
      <name val="Courier New"/>
      <family val="3"/>
    </font>
    <font>
      <b/>
      <sz val="9"/>
      <name val="Courier New"/>
      <family val="3"/>
    </font>
    <font>
      <b/>
      <sz val="8"/>
      <name val="Arial"/>
      <family val="2"/>
    </font>
    <font>
      <b/>
      <sz val="9"/>
      <name val="Arial"/>
      <family val="2"/>
    </font>
    <font>
      <b/>
      <u/>
      <sz val="8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9"/>
      <name val="Arial"/>
      <family val="2"/>
      <charset val="238"/>
    </font>
    <font>
      <b/>
      <sz val="26"/>
      <name val="Times New Roman"/>
      <family val="1"/>
    </font>
    <font>
      <b/>
      <sz val="12"/>
      <name val="Times New Roman"/>
      <family val="1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Arial"/>
      <family val="2"/>
      <charset val="238"/>
    </font>
    <font>
      <b/>
      <sz val="11"/>
      <color rgb="FFFF0000"/>
      <name val="Arial"/>
      <family val="2"/>
    </font>
    <font>
      <sz val="10"/>
      <color rgb="FF0070C0"/>
      <name val="Courier New"/>
      <family val="3"/>
    </font>
    <font>
      <b/>
      <sz val="11"/>
      <color rgb="FF0070C0"/>
      <name val="Arial"/>
      <family val="2"/>
    </font>
    <font>
      <b/>
      <sz val="11"/>
      <color rgb="FF0070C0"/>
      <name val="Arial"/>
      <family val="2"/>
      <charset val="238"/>
    </font>
    <font>
      <b/>
      <sz val="10"/>
      <color rgb="FFFF0000"/>
      <name val="Courier New"/>
      <family val="3"/>
    </font>
    <font>
      <b/>
      <sz val="10"/>
      <color rgb="FF0070C0"/>
      <name val="Courier New"/>
      <family val="3"/>
    </font>
    <font>
      <sz val="10"/>
      <color rgb="FFFF0000"/>
      <name val="Arial"/>
      <family val="2"/>
    </font>
    <font>
      <b/>
      <u/>
      <sz val="10"/>
      <color rgb="FFFF0000"/>
      <name val="Arial"/>
      <family val="2"/>
    </font>
    <font>
      <b/>
      <sz val="10"/>
      <color rgb="FFFF0000"/>
      <name val="Arial"/>
      <family val="2"/>
    </font>
    <font>
      <b/>
      <i/>
      <sz val="24"/>
      <color rgb="FF1F487C"/>
      <name val="Calibri"/>
      <family val="2"/>
    </font>
    <font>
      <b/>
      <i/>
      <sz val="12"/>
      <color theme="4"/>
      <name val="Arial"/>
      <family val="2"/>
    </font>
    <font>
      <b/>
      <i/>
      <sz val="11"/>
      <color theme="4"/>
      <name val="Arial"/>
      <family val="2"/>
    </font>
    <font>
      <sz val="10"/>
      <color rgb="FF808080"/>
      <name val="Calibri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u/>
      <sz val="11"/>
      <color theme="0" tint="-0.499984740745262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  <font>
      <b/>
      <u/>
      <sz val="11"/>
      <name val="Arial"/>
      <family val="2"/>
    </font>
    <font>
      <u/>
      <sz val="1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164" fontId="1" fillId="0" borderId="0" applyFont="0" applyFill="0" applyBorder="0" applyAlignment="0" applyProtection="0"/>
    <xf numFmtId="0" fontId="1" fillId="0" borderId="0"/>
    <xf numFmtId="0" fontId="57" fillId="0" borderId="0" applyNumberFormat="0" applyFill="0" applyBorder="0" applyAlignment="0" applyProtection="0"/>
  </cellStyleXfs>
  <cellXfs count="348">
    <xf numFmtId="0" fontId="0" fillId="0" borderId="0" xfId="0"/>
    <xf numFmtId="0" fontId="1" fillId="0" borderId="0" xfId="3"/>
    <xf numFmtId="2" fontId="1" fillId="0" borderId="0" xfId="3" applyNumberFormat="1"/>
    <xf numFmtId="169" fontId="1" fillId="0" borderId="0" xfId="3" applyNumberFormat="1"/>
    <xf numFmtId="0" fontId="2" fillId="0" borderId="0" xfId="3" applyFont="1"/>
    <xf numFmtId="166" fontId="1" fillId="0" borderId="0" xfId="3" applyNumberFormat="1"/>
    <xf numFmtId="0" fontId="21" fillId="0" borderId="0" xfId="3" applyFont="1"/>
    <xf numFmtId="2" fontId="21" fillId="0" borderId="0" xfId="3" applyNumberFormat="1" applyFont="1"/>
    <xf numFmtId="169" fontId="21" fillId="0" borderId="0" xfId="3" applyNumberFormat="1" applyFont="1"/>
    <xf numFmtId="0" fontId="16" fillId="2" borderId="0" xfId="3" applyFont="1" applyFill="1"/>
    <xf numFmtId="0" fontId="12" fillId="2" borderId="0" xfId="3" applyFont="1" applyFill="1"/>
    <xf numFmtId="0" fontId="6" fillId="2" borderId="0" xfId="3" applyFont="1" applyFill="1"/>
    <xf numFmtId="0" fontId="6" fillId="2" borderId="1" xfId="3" applyFont="1" applyFill="1" applyBorder="1"/>
    <xf numFmtId="0" fontId="5" fillId="2" borderId="1" xfId="3" applyFont="1" applyFill="1" applyBorder="1"/>
    <xf numFmtId="0" fontId="6" fillId="2" borderId="2" xfId="3" applyFont="1" applyFill="1" applyBorder="1"/>
    <xf numFmtId="0" fontId="11" fillId="2" borderId="3" xfId="3" applyFont="1" applyFill="1" applyBorder="1"/>
    <xf numFmtId="0" fontId="11" fillId="2" borderId="0" xfId="3" applyFont="1" applyFill="1"/>
    <xf numFmtId="2" fontId="11" fillId="2" borderId="0" xfId="3" applyNumberFormat="1" applyFont="1" applyFill="1"/>
    <xf numFmtId="169" fontId="11" fillId="2" borderId="0" xfId="3" applyNumberFormat="1" applyFont="1" applyFill="1"/>
    <xf numFmtId="0" fontId="9" fillId="2" borderId="0" xfId="3" applyFont="1" applyFill="1"/>
    <xf numFmtId="0" fontId="7" fillId="2" borderId="0" xfId="3" applyFont="1" applyFill="1"/>
    <xf numFmtId="0" fontId="7" fillId="2" borderId="1" xfId="3" applyFont="1" applyFill="1" applyBorder="1"/>
    <xf numFmtId="0" fontId="5" fillId="2" borderId="3" xfId="3" applyFont="1" applyFill="1" applyBorder="1"/>
    <xf numFmtId="0" fontId="5" fillId="2" borderId="0" xfId="3" applyFont="1" applyFill="1"/>
    <xf numFmtId="0" fontId="5" fillId="2" borderId="4" xfId="3" applyFont="1" applyFill="1" applyBorder="1"/>
    <xf numFmtId="2" fontId="5" fillId="2" borderId="5" xfId="3" applyNumberFormat="1" applyFont="1" applyFill="1" applyBorder="1" applyAlignment="1">
      <alignment horizontal="center"/>
    </xf>
    <xf numFmtId="0" fontId="5" fillId="2" borderId="6" xfId="3" applyFont="1" applyFill="1" applyBorder="1" applyAlignment="1">
      <alignment horizontal="center"/>
    </xf>
    <xf numFmtId="0" fontId="5" fillId="2" borderId="5" xfId="3" applyFont="1" applyFill="1" applyBorder="1" applyAlignment="1">
      <alignment horizontal="center"/>
    </xf>
    <xf numFmtId="169" fontId="5" fillId="2" borderId="5" xfId="3" applyNumberFormat="1" applyFont="1" applyFill="1" applyBorder="1" applyAlignment="1">
      <alignment horizontal="center"/>
    </xf>
    <xf numFmtId="0" fontId="5" fillId="2" borderId="5" xfId="3" applyFont="1" applyFill="1" applyBorder="1"/>
    <xf numFmtId="0" fontId="5" fillId="2" borderId="6" xfId="3" applyFont="1" applyFill="1" applyBorder="1"/>
    <xf numFmtId="0" fontId="6" fillId="2" borderId="5" xfId="3" applyFont="1" applyFill="1" applyBorder="1"/>
    <xf numFmtId="0" fontId="6" fillId="2" borderId="6" xfId="3" applyFont="1" applyFill="1" applyBorder="1"/>
    <xf numFmtId="0" fontId="9" fillId="2" borderId="7" xfId="3" applyFont="1" applyFill="1" applyBorder="1"/>
    <xf numFmtId="0" fontId="9" fillId="2" borderId="8" xfId="3" applyFont="1" applyFill="1" applyBorder="1"/>
    <xf numFmtId="0" fontId="9" fillId="2" borderId="8" xfId="3" applyFont="1" applyFill="1" applyBorder="1" applyAlignment="1">
      <alignment horizontal="center"/>
    </xf>
    <xf numFmtId="0" fontId="5" fillId="2" borderId="9" xfId="3" applyFont="1" applyFill="1" applyBorder="1" applyAlignment="1">
      <alignment horizontal="center"/>
    </xf>
    <xf numFmtId="2" fontId="5" fillId="2" borderId="10" xfId="3" applyNumberFormat="1" applyFont="1" applyFill="1" applyBorder="1" applyAlignment="1">
      <alignment horizontal="center"/>
    </xf>
    <xf numFmtId="0" fontId="5" fillId="2" borderId="11" xfId="3" applyFont="1" applyFill="1" applyBorder="1" applyAlignment="1">
      <alignment horizontal="center"/>
    </xf>
    <xf numFmtId="169" fontId="5" fillId="2" borderId="10" xfId="3" applyNumberFormat="1" applyFont="1" applyFill="1" applyBorder="1" applyAlignment="1">
      <alignment horizontal="center"/>
    </xf>
    <xf numFmtId="0" fontId="9" fillId="2" borderId="12" xfId="3" applyFont="1" applyFill="1" applyBorder="1"/>
    <xf numFmtId="0" fontId="9" fillId="2" borderId="13" xfId="3" applyFont="1" applyFill="1" applyBorder="1"/>
    <xf numFmtId="0" fontId="9" fillId="2" borderId="14" xfId="3" applyFont="1" applyFill="1" applyBorder="1"/>
    <xf numFmtId="0" fontId="5" fillId="2" borderId="15" xfId="3" applyFont="1" applyFill="1" applyBorder="1"/>
    <xf numFmtId="0" fontId="5" fillId="2" borderId="16" xfId="3" applyFont="1" applyFill="1" applyBorder="1"/>
    <xf numFmtId="0" fontId="6" fillId="2" borderId="16" xfId="3" applyFont="1" applyFill="1" applyBorder="1"/>
    <xf numFmtId="0" fontId="9" fillId="2" borderId="3" xfId="3" applyFont="1" applyFill="1" applyBorder="1" applyAlignment="1">
      <alignment horizontal="center"/>
    </xf>
    <xf numFmtId="0" fontId="9" fillId="2" borderId="1" xfId="3" applyFont="1" applyFill="1" applyBorder="1"/>
    <xf numFmtId="168" fontId="9" fillId="2" borderId="18" xfId="3" applyNumberFormat="1" applyFont="1" applyFill="1" applyBorder="1" applyAlignment="1">
      <alignment horizontal="center"/>
    </xf>
    <xf numFmtId="0" fontId="9" fillId="2" borderId="19" xfId="3" applyFont="1" applyFill="1" applyBorder="1" applyAlignment="1">
      <alignment horizontal="center"/>
    </xf>
    <xf numFmtId="0" fontId="5" fillId="2" borderId="18" xfId="3" applyFont="1" applyFill="1" applyBorder="1"/>
    <xf numFmtId="0" fontId="9" fillId="2" borderId="15" xfId="3" applyFont="1" applyFill="1" applyBorder="1" applyAlignment="1">
      <alignment horizontal="center"/>
    </xf>
    <xf numFmtId="166" fontId="5" fillId="2" borderId="16" xfId="3" applyNumberFormat="1" applyFont="1" applyFill="1" applyBorder="1" applyAlignment="1">
      <alignment horizontal="center"/>
    </xf>
    <xf numFmtId="0" fontId="9" fillId="2" borderId="20" xfId="3" applyFont="1" applyFill="1" applyBorder="1" applyAlignment="1">
      <alignment horizontal="center"/>
    </xf>
    <xf numFmtId="0" fontId="9" fillId="2" borderId="3" xfId="3" quotePrefix="1" applyFont="1" applyFill="1" applyBorder="1" applyAlignment="1">
      <alignment horizontal="center"/>
    </xf>
    <xf numFmtId="0" fontId="9" fillId="2" borderId="16" xfId="3" applyFont="1" applyFill="1" applyBorder="1"/>
    <xf numFmtId="0" fontId="7" fillId="2" borderId="16" xfId="3" applyFont="1" applyFill="1" applyBorder="1"/>
    <xf numFmtId="2" fontId="5" fillId="2" borderId="16" xfId="3" applyNumberFormat="1" applyFont="1" applyFill="1" applyBorder="1" applyAlignment="1">
      <alignment horizontal="center"/>
    </xf>
    <xf numFmtId="166" fontId="16" fillId="2" borderId="1" xfId="3" applyNumberFormat="1" applyFont="1" applyFill="1" applyBorder="1"/>
    <xf numFmtId="0" fontId="9" fillId="2" borderId="15" xfId="3" applyFont="1" applyFill="1" applyBorder="1"/>
    <xf numFmtId="167" fontId="9" fillId="2" borderId="20" xfId="3" applyNumberFormat="1" applyFont="1" applyFill="1" applyBorder="1" applyAlignment="1">
      <alignment horizontal="center"/>
    </xf>
    <xf numFmtId="0" fontId="5" fillId="2" borderId="3" xfId="3" applyFont="1" applyFill="1" applyBorder="1" applyAlignment="1">
      <alignment horizontal="left"/>
    </xf>
    <xf numFmtId="2" fontId="5" fillId="2" borderId="1" xfId="3" applyNumberFormat="1" applyFont="1" applyFill="1" applyBorder="1"/>
    <xf numFmtId="0" fontId="8" fillId="2" borderId="0" xfId="3" applyFont="1" applyFill="1"/>
    <xf numFmtId="0" fontId="16" fillId="2" borderId="21" xfId="3" applyFont="1" applyFill="1" applyBorder="1" applyAlignment="1">
      <alignment horizontal="left"/>
    </xf>
    <xf numFmtId="2" fontId="16" fillId="2" borderId="22" xfId="3" applyNumberFormat="1" applyFont="1" applyFill="1" applyBorder="1"/>
    <xf numFmtId="0" fontId="5" fillId="2" borderId="3" xfId="3" quotePrefix="1" applyFont="1" applyFill="1" applyBorder="1" applyAlignment="1">
      <alignment horizontal="center"/>
    </xf>
    <xf numFmtId="0" fontId="5" fillId="2" borderId="20" xfId="3" applyFont="1" applyFill="1" applyBorder="1" applyAlignment="1">
      <alignment horizontal="center"/>
    </xf>
    <xf numFmtId="165" fontId="9" fillId="2" borderId="15" xfId="3" applyNumberFormat="1" applyFont="1" applyFill="1" applyBorder="1" applyAlignment="1">
      <alignment horizontal="center"/>
    </xf>
    <xf numFmtId="0" fontId="5" fillId="2" borderId="3" xfId="3" applyFont="1" applyFill="1" applyBorder="1" applyAlignment="1">
      <alignment horizontal="center"/>
    </xf>
    <xf numFmtId="2" fontId="9" fillId="2" borderId="15" xfId="3" applyNumberFormat="1" applyFont="1" applyFill="1" applyBorder="1" applyAlignment="1">
      <alignment horizontal="center"/>
    </xf>
    <xf numFmtId="2" fontId="9" fillId="2" borderId="16" xfId="3" applyNumberFormat="1" applyFont="1" applyFill="1" applyBorder="1" applyAlignment="1">
      <alignment horizontal="center"/>
    </xf>
    <xf numFmtId="0" fontId="5" fillId="2" borderId="15" xfId="3" applyFont="1" applyFill="1" applyBorder="1" applyAlignment="1">
      <alignment horizontal="center"/>
    </xf>
    <xf numFmtId="0" fontId="6" fillId="2" borderId="3" xfId="3" applyFont="1" applyFill="1" applyBorder="1"/>
    <xf numFmtId="2" fontId="5" fillId="2" borderId="23" xfId="3" applyNumberFormat="1" applyFont="1" applyFill="1" applyBorder="1"/>
    <xf numFmtId="2" fontId="5" fillId="2" borderId="15" xfId="3" applyNumberFormat="1" applyFont="1" applyFill="1" applyBorder="1" applyAlignment="1">
      <alignment horizontal="center"/>
    </xf>
    <xf numFmtId="2" fontId="5" fillId="2" borderId="0" xfId="3" applyNumberFormat="1" applyFont="1" applyFill="1"/>
    <xf numFmtId="165" fontId="5" fillId="2" borderId="15" xfId="3" applyNumberFormat="1" applyFont="1" applyFill="1" applyBorder="1" applyAlignment="1">
      <alignment horizontal="center"/>
    </xf>
    <xf numFmtId="165" fontId="5" fillId="2" borderId="0" xfId="3" applyNumberFormat="1" applyFont="1" applyFill="1"/>
    <xf numFmtId="2" fontId="7" fillId="2" borderId="0" xfId="3" applyNumberFormat="1" applyFont="1" applyFill="1"/>
    <xf numFmtId="169" fontId="7" fillId="2" borderId="0" xfId="3" applyNumberFormat="1" applyFont="1" applyFill="1"/>
    <xf numFmtId="0" fontId="18" fillId="2" borderId="0" xfId="3" applyFont="1" applyFill="1"/>
    <xf numFmtId="2" fontId="9" fillId="2" borderId="0" xfId="3" applyNumberFormat="1" applyFont="1" applyFill="1"/>
    <xf numFmtId="2" fontId="8" fillId="2" borderId="0" xfId="3" applyNumberFormat="1" applyFont="1" applyFill="1"/>
    <xf numFmtId="169" fontId="19" fillId="2" borderId="0" xfId="3" applyNumberFormat="1" applyFont="1" applyFill="1"/>
    <xf numFmtId="0" fontId="19" fillId="2" borderId="0" xfId="3" applyFont="1" applyFill="1"/>
    <xf numFmtId="0" fontId="20" fillId="2" borderId="0" xfId="3" applyFont="1" applyFill="1"/>
    <xf numFmtId="169" fontId="5" fillId="2" borderId="0" xfId="3" applyNumberFormat="1" applyFont="1" applyFill="1"/>
    <xf numFmtId="2" fontId="6" fillId="2" borderId="0" xfId="3" applyNumberFormat="1" applyFont="1" applyFill="1"/>
    <xf numFmtId="0" fontId="16" fillId="2" borderId="1" xfId="3" applyFont="1" applyFill="1" applyBorder="1"/>
    <xf numFmtId="2" fontId="16" fillId="2" borderId="24" xfId="3" applyNumberFormat="1" applyFont="1" applyFill="1" applyBorder="1"/>
    <xf numFmtId="0" fontId="5" fillId="2" borderId="24" xfId="3" applyFont="1" applyFill="1" applyBorder="1"/>
    <xf numFmtId="168" fontId="13" fillId="2" borderId="25" xfId="3" applyNumberFormat="1" applyFont="1" applyFill="1" applyBorder="1" applyAlignment="1" applyProtection="1">
      <alignment horizontal="center"/>
      <protection locked="0"/>
    </xf>
    <xf numFmtId="2" fontId="16" fillId="2" borderId="16" xfId="3" applyNumberFormat="1" applyFont="1" applyFill="1" applyBorder="1" applyAlignment="1">
      <alignment horizontal="center"/>
    </xf>
    <xf numFmtId="166" fontId="16" fillId="2" borderId="16" xfId="3" applyNumberFormat="1" applyFont="1" applyFill="1" applyBorder="1" applyAlignment="1">
      <alignment horizontal="center"/>
    </xf>
    <xf numFmtId="0" fontId="12" fillId="2" borderId="0" xfId="3" applyFont="1" applyFill="1" applyProtection="1">
      <protection locked="0"/>
    </xf>
    <xf numFmtId="168" fontId="16" fillId="2" borderId="25" xfId="3" applyNumberFormat="1" applyFont="1" applyFill="1" applyBorder="1" applyAlignment="1" applyProtection="1">
      <alignment horizontal="center"/>
      <protection locked="0"/>
    </xf>
    <xf numFmtId="166" fontId="5" fillId="2" borderId="16" xfId="3" applyNumberFormat="1" applyFont="1" applyFill="1" applyBorder="1" applyAlignment="1" applyProtection="1">
      <alignment horizontal="center"/>
      <protection locked="0"/>
    </xf>
    <xf numFmtId="2" fontId="5" fillId="2" borderId="20" xfId="3" applyNumberFormat="1" applyFont="1" applyFill="1" applyBorder="1"/>
    <xf numFmtId="0" fontId="44" fillId="2" borderId="21" xfId="3" applyFont="1" applyFill="1" applyBorder="1"/>
    <xf numFmtId="0" fontId="17" fillId="2" borderId="0" xfId="3" applyFont="1" applyFill="1"/>
    <xf numFmtId="0" fontId="5" fillId="2" borderId="7" xfId="3" applyFont="1" applyFill="1" applyBorder="1"/>
    <xf numFmtId="2" fontId="5" fillId="2" borderId="8" xfId="3" applyNumberFormat="1" applyFont="1" applyFill="1" applyBorder="1" applyAlignment="1">
      <alignment horizontal="center"/>
    </xf>
    <xf numFmtId="0" fontId="5" fillId="2" borderId="29" xfId="3" applyFont="1" applyFill="1" applyBorder="1" applyAlignment="1">
      <alignment horizontal="center"/>
    </xf>
    <xf numFmtId="165" fontId="5" fillId="2" borderId="7" xfId="3" applyNumberFormat="1" applyFont="1" applyFill="1" applyBorder="1" applyAlignment="1">
      <alignment horizontal="center"/>
    </xf>
    <xf numFmtId="0" fontId="5" fillId="2" borderId="15" xfId="3" applyFont="1" applyFill="1" applyBorder="1" applyAlignment="1">
      <alignment vertical="center"/>
    </xf>
    <xf numFmtId="0" fontId="14" fillId="2" borderId="16" xfId="3" applyFont="1" applyFill="1" applyBorder="1" applyAlignment="1">
      <alignment vertical="center"/>
    </xf>
    <xf numFmtId="0" fontId="15" fillId="2" borderId="16" xfId="3" applyFont="1" applyFill="1" applyBorder="1" applyAlignment="1">
      <alignment vertical="center"/>
    </xf>
    <xf numFmtId="0" fontId="9" fillId="2" borderId="15" xfId="3" applyFont="1" applyFill="1" applyBorder="1" applyAlignment="1">
      <alignment horizontal="center" vertical="center"/>
    </xf>
    <xf numFmtId="2" fontId="5" fillId="2" borderId="16" xfId="3" applyNumberFormat="1" applyFont="1" applyFill="1" applyBorder="1" applyAlignment="1">
      <alignment horizontal="center" vertical="center"/>
    </xf>
    <xf numFmtId="0" fontId="9" fillId="2" borderId="20" xfId="3" applyFont="1" applyFill="1" applyBorder="1" applyAlignment="1">
      <alignment horizontal="center" vertical="center"/>
    </xf>
    <xf numFmtId="0" fontId="9" fillId="2" borderId="3" xfId="3" applyFont="1" applyFill="1" applyBorder="1" applyAlignment="1">
      <alignment horizontal="center" vertical="center"/>
    </xf>
    <xf numFmtId="0" fontId="30" fillId="3" borderId="30" xfId="0" applyFont="1" applyFill="1" applyBorder="1"/>
    <xf numFmtId="0" fontId="31" fillId="0" borderId="0" xfId="0" applyFont="1"/>
    <xf numFmtId="0" fontId="30" fillId="3" borderId="30" xfId="0" applyFont="1" applyFill="1" applyBorder="1" applyAlignment="1">
      <alignment horizontal="center"/>
    </xf>
    <xf numFmtId="0" fontId="32" fillId="3" borderId="30" xfId="0" applyFont="1" applyFill="1" applyBorder="1" applyAlignment="1">
      <alignment horizontal="center"/>
    </xf>
    <xf numFmtId="166" fontId="31" fillId="3" borderId="30" xfId="0" applyNumberFormat="1" applyFont="1" applyFill="1" applyBorder="1"/>
    <xf numFmtId="2" fontId="31" fillId="3" borderId="30" xfId="0" applyNumberFormat="1" applyFont="1" applyFill="1" applyBorder="1"/>
    <xf numFmtId="0" fontId="0" fillId="0" borderId="0" xfId="3" applyFont="1"/>
    <xf numFmtId="0" fontId="2" fillId="0" borderId="0" xfId="0" applyFont="1"/>
    <xf numFmtId="2" fontId="0" fillId="0" borderId="0" xfId="0" applyNumberFormat="1" applyAlignment="1">
      <alignment horizontal="center"/>
    </xf>
    <xf numFmtId="0" fontId="0" fillId="4" borderId="30" xfId="0" applyFill="1" applyBorder="1" applyAlignment="1">
      <alignment horizontal="center"/>
    </xf>
    <xf numFmtId="0" fontId="33" fillId="4" borderId="30" xfId="0" applyFont="1" applyFill="1" applyBorder="1"/>
    <xf numFmtId="166" fontId="0" fillId="0" borderId="0" xfId="0" applyNumberFormat="1" applyAlignment="1">
      <alignment horizontal="center"/>
    </xf>
    <xf numFmtId="2" fontId="2" fillId="5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34" fillId="0" borderId="0" xfId="0" applyFont="1"/>
    <xf numFmtId="0" fontId="2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168" fontId="0" fillId="0" borderId="0" xfId="0" applyNumberFormat="1" applyAlignment="1">
      <alignment horizontal="center"/>
    </xf>
    <xf numFmtId="165" fontId="2" fillId="5" borderId="0" xfId="0" applyNumberFormat="1" applyFont="1" applyFill="1" applyAlignment="1">
      <alignment horizontal="center"/>
    </xf>
    <xf numFmtId="165" fontId="0" fillId="0" borderId="0" xfId="0" applyNumberFormat="1" applyAlignment="1">
      <alignment horizontal="center"/>
    </xf>
    <xf numFmtId="0" fontId="36" fillId="0" borderId="0" xfId="0" applyFont="1"/>
    <xf numFmtId="0" fontId="37" fillId="0" borderId="0" xfId="0" applyFont="1"/>
    <xf numFmtId="0" fontId="3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2" fillId="5" borderId="0" xfId="0" applyFont="1" applyFill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33" fillId="0" borderId="0" xfId="0" applyFont="1"/>
    <xf numFmtId="4" fontId="0" fillId="4" borderId="30" xfId="0" applyNumberFormat="1" applyFill="1" applyBorder="1" applyAlignment="1">
      <alignment horizontal="center"/>
    </xf>
    <xf numFmtId="166" fontId="45" fillId="3" borderId="30" xfId="0" applyNumberFormat="1" applyFont="1" applyFill="1" applyBorder="1"/>
    <xf numFmtId="166" fontId="47" fillId="2" borderId="16" xfId="3" applyNumberFormat="1" applyFont="1" applyFill="1" applyBorder="1" applyAlignment="1" applyProtection="1">
      <alignment horizontal="center"/>
      <protection locked="0"/>
    </xf>
    <xf numFmtId="3" fontId="0" fillId="0" borderId="0" xfId="3" applyNumberFormat="1" applyFont="1"/>
    <xf numFmtId="165" fontId="0" fillId="4" borderId="30" xfId="0" applyNumberFormat="1" applyFill="1" applyBorder="1" applyAlignment="1">
      <alignment horizontal="center"/>
    </xf>
    <xf numFmtId="2" fontId="2" fillId="0" borderId="0" xfId="3" applyNumberFormat="1" applyFont="1"/>
    <xf numFmtId="0" fontId="2" fillId="0" borderId="0" xfId="3" applyFont="1" applyAlignment="1">
      <alignment horizontal="right"/>
    </xf>
    <xf numFmtId="166" fontId="2" fillId="0" borderId="0" xfId="3" applyNumberFormat="1" applyFont="1"/>
    <xf numFmtId="2" fontId="22" fillId="6" borderId="16" xfId="3" applyNumberFormat="1" applyFont="1" applyFill="1" applyBorder="1" applyAlignment="1" applyProtection="1">
      <alignment horizontal="center"/>
      <protection locked="0"/>
    </xf>
    <xf numFmtId="2" fontId="47" fillId="7" borderId="16" xfId="3" applyNumberFormat="1" applyFont="1" applyFill="1" applyBorder="1" applyAlignment="1" applyProtection="1">
      <alignment horizontal="center"/>
      <protection locked="0"/>
    </xf>
    <xf numFmtId="166" fontId="5" fillId="8" borderId="16" xfId="3" applyNumberFormat="1" applyFont="1" applyFill="1" applyBorder="1" applyAlignment="1">
      <alignment horizontal="center"/>
    </xf>
    <xf numFmtId="0" fontId="28" fillId="2" borderId="0" xfId="3" applyFont="1" applyFill="1"/>
    <xf numFmtId="0" fontId="38" fillId="2" borderId="3" xfId="3" applyFont="1" applyFill="1" applyBorder="1" applyAlignment="1">
      <alignment horizontal="left"/>
    </xf>
    <xf numFmtId="0" fontId="38" fillId="2" borderId="3" xfId="3" applyFont="1" applyFill="1" applyBorder="1"/>
    <xf numFmtId="166" fontId="30" fillId="0" borderId="30" xfId="0" applyNumberFormat="1" applyFont="1" applyBorder="1"/>
    <xf numFmtId="2" fontId="31" fillId="0" borderId="30" xfId="0" applyNumberFormat="1" applyFont="1" applyBorder="1"/>
    <xf numFmtId="166" fontId="31" fillId="0" borderId="30" xfId="0" applyNumberFormat="1" applyFont="1" applyBorder="1"/>
    <xf numFmtId="168" fontId="2" fillId="0" borderId="0" xfId="3" applyNumberFormat="1" applyFont="1"/>
    <xf numFmtId="0" fontId="40" fillId="0" borderId="3" xfId="0" applyFont="1" applyBorder="1"/>
    <xf numFmtId="0" fontId="40" fillId="9" borderId="3" xfId="0" applyFont="1" applyFill="1" applyBorder="1" applyAlignment="1">
      <alignment horizontal="left"/>
    </xf>
    <xf numFmtId="0" fontId="40" fillId="0" borderId="3" xfId="0" applyFont="1" applyBorder="1" applyAlignment="1">
      <alignment horizontal="left"/>
    </xf>
    <xf numFmtId="0" fontId="16" fillId="2" borderId="3" xfId="3" applyFont="1" applyFill="1" applyBorder="1"/>
    <xf numFmtId="0" fontId="27" fillId="2" borderId="0" xfId="3" applyFont="1" applyFill="1"/>
    <xf numFmtId="169" fontId="8" fillId="2" borderId="0" xfId="3" applyNumberFormat="1" applyFont="1" applyFill="1"/>
    <xf numFmtId="0" fontId="16" fillId="2" borderId="0" xfId="3" applyFont="1" applyFill="1" applyAlignment="1">
      <alignment horizontal="center"/>
    </xf>
    <xf numFmtId="14" fontId="16" fillId="2" borderId="0" xfId="3" applyNumberFormat="1" applyFont="1" applyFill="1" applyAlignment="1">
      <alignment horizontal="center"/>
    </xf>
    <xf numFmtId="2" fontId="16" fillId="2" borderId="0" xfId="3" applyNumberFormat="1" applyFont="1" applyFill="1"/>
    <xf numFmtId="0" fontId="24" fillId="2" borderId="3" xfId="3" applyFont="1" applyFill="1" applyBorder="1"/>
    <xf numFmtId="0" fontId="10" fillId="2" borderId="0" xfId="3" applyFont="1" applyFill="1"/>
    <xf numFmtId="0" fontId="10" fillId="2" borderId="32" xfId="3" applyFont="1" applyFill="1" applyBorder="1"/>
    <xf numFmtId="0" fontId="10" fillId="2" borderId="2" xfId="3" applyFont="1" applyFill="1" applyBorder="1"/>
    <xf numFmtId="0" fontId="16" fillId="2" borderId="2" xfId="3" applyFont="1" applyFill="1" applyBorder="1"/>
    <xf numFmtId="1" fontId="10" fillId="2" borderId="2" xfId="3" applyNumberFormat="1" applyFont="1" applyFill="1" applyBorder="1"/>
    <xf numFmtId="2" fontId="16" fillId="2" borderId="2" xfId="3" applyNumberFormat="1" applyFont="1" applyFill="1" applyBorder="1"/>
    <xf numFmtId="169" fontId="10" fillId="2" borderId="2" xfId="3" applyNumberFormat="1" applyFont="1" applyFill="1" applyBorder="1"/>
    <xf numFmtId="0" fontId="5" fillId="2" borderId="2" xfId="3" applyFont="1" applyFill="1" applyBorder="1"/>
    <xf numFmtId="0" fontId="8" fillId="2" borderId="2" xfId="3" applyFont="1" applyFill="1" applyBorder="1"/>
    <xf numFmtId="0" fontId="7" fillId="2" borderId="33" xfId="3" applyFont="1" applyFill="1" applyBorder="1"/>
    <xf numFmtId="166" fontId="46" fillId="2" borderId="0" xfId="3" applyNumberFormat="1" applyFont="1" applyFill="1" applyAlignment="1" applyProtection="1">
      <alignment horizontal="center"/>
      <protection locked="0"/>
    </xf>
    <xf numFmtId="166" fontId="47" fillId="2" borderId="1" xfId="3" applyNumberFormat="1" applyFont="1" applyFill="1" applyBorder="1"/>
    <xf numFmtId="166" fontId="47" fillId="7" borderId="16" xfId="3" applyNumberFormat="1" applyFont="1" applyFill="1" applyBorder="1" applyAlignment="1" applyProtection="1">
      <alignment horizontal="center"/>
      <protection locked="0"/>
    </xf>
    <xf numFmtId="168" fontId="2" fillId="10" borderId="0" xfId="3" applyNumberFormat="1" applyFont="1" applyFill="1"/>
    <xf numFmtId="0" fontId="2" fillId="10" borderId="0" xfId="3" applyFont="1" applyFill="1"/>
    <xf numFmtId="166" fontId="0" fillId="4" borderId="30" xfId="0" applyNumberFormat="1" applyFill="1" applyBorder="1" applyAlignment="1">
      <alignment horizontal="center"/>
    </xf>
    <xf numFmtId="166" fontId="5" fillId="11" borderId="16" xfId="3" applyNumberFormat="1" applyFont="1" applyFill="1" applyBorder="1" applyAlignment="1">
      <alignment horizontal="center"/>
    </xf>
    <xf numFmtId="168" fontId="0" fillId="4" borderId="30" xfId="0" applyNumberFormat="1" applyFill="1" applyBorder="1" applyAlignment="1">
      <alignment horizontal="center"/>
    </xf>
    <xf numFmtId="2" fontId="5" fillId="6" borderId="22" xfId="3" applyNumberFormat="1" applyFont="1" applyFill="1" applyBorder="1"/>
    <xf numFmtId="171" fontId="2" fillId="0" borderId="0" xfId="1" applyNumberFormat="1" applyFont="1" applyProtection="1"/>
    <xf numFmtId="0" fontId="4" fillId="0" borderId="0" xfId="3" quotePrefix="1" applyFont="1"/>
    <xf numFmtId="0" fontId="2" fillId="0" borderId="0" xfId="3" quotePrefix="1" applyFont="1" applyAlignment="1">
      <alignment horizontal="left"/>
    </xf>
    <xf numFmtId="166" fontId="22" fillId="6" borderId="16" xfId="3" applyNumberFormat="1" applyFont="1" applyFill="1" applyBorder="1" applyAlignment="1" applyProtection="1">
      <alignment horizontal="center" vertical="center"/>
      <protection locked="0"/>
    </xf>
    <xf numFmtId="165" fontId="16" fillId="2" borderId="16" xfId="3" applyNumberFormat="1" applyFont="1" applyFill="1" applyBorder="1" applyAlignment="1">
      <alignment horizontal="center"/>
    </xf>
    <xf numFmtId="2" fontId="44" fillId="2" borderId="1" xfId="3" applyNumberFormat="1" applyFont="1" applyFill="1" applyBorder="1"/>
    <xf numFmtId="2" fontId="43" fillId="2" borderId="16" xfId="3" applyNumberFormat="1" applyFont="1" applyFill="1" applyBorder="1" applyAlignment="1">
      <alignment horizontal="center"/>
    </xf>
    <xf numFmtId="2" fontId="43" fillId="2" borderId="8" xfId="3" applyNumberFormat="1" applyFont="1" applyFill="1" applyBorder="1" applyAlignment="1">
      <alignment horizontal="center"/>
    </xf>
    <xf numFmtId="0" fontId="4" fillId="0" borderId="0" xfId="3" applyFont="1" applyAlignment="1">
      <alignment horizontal="center"/>
    </xf>
    <xf numFmtId="166" fontId="49" fillId="3" borderId="30" xfId="0" applyNumberFormat="1" applyFont="1" applyFill="1" applyBorder="1"/>
    <xf numFmtId="0" fontId="38" fillId="2" borderId="15" xfId="3" applyFont="1" applyFill="1" applyBorder="1"/>
    <xf numFmtId="165" fontId="5" fillId="2" borderId="16" xfId="3" applyNumberFormat="1" applyFont="1" applyFill="1" applyBorder="1"/>
    <xf numFmtId="0" fontId="2" fillId="0" borderId="0" xfId="3" applyFont="1" applyAlignment="1">
      <alignment horizontal="center"/>
    </xf>
    <xf numFmtId="2" fontId="31" fillId="0" borderId="0" xfId="0" applyNumberFormat="1" applyFont="1" applyAlignment="1">
      <alignment horizontal="left"/>
    </xf>
    <xf numFmtId="2" fontId="1" fillId="0" borderId="0" xfId="3" applyNumberFormat="1" applyAlignment="1">
      <alignment horizontal="center"/>
    </xf>
    <xf numFmtId="0" fontId="2" fillId="0" borderId="0" xfId="3" quotePrefix="1" applyFont="1"/>
    <xf numFmtId="0" fontId="5" fillId="2" borderId="35" xfId="3" applyFont="1" applyFill="1" applyBorder="1"/>
    <xf numFmtId="170" fontId="2" fillId="0" borderId="0" xfId="3" applyNumberFormat="1" applyFont="1" applyAlignment="1">
      <alignment horizontal="right"/>
    </xf>
    <xf numFmtId="2" fontId="2" fillId="6" borderId="0" xfId="3" applyNumberFormat="1" applyFont="1" applyFill="1"/>
    <xf numFmtId="0" fontId="0" fillId="0" borderId="0" xfId="0" applyAlignment="1">
      <alignment horizontal="center" vertical="center"/>
    </xf>
    <xf numFmtId="0" fontId="1" fillId="0" borderId="0" xfId="3" applyAlignment="1">
      <alignment horizontal="center" vertical="center"/>
    </xf>
    <xf numFmtId="0" fontId="0" fillId="12" borderId="30" xfId="0" applyFill="1" applyBorder="1" applyAlignment="1">
      <alignment horizontal="center" vertical="center"/>
    </xf>
    <xf numFmtId="166" fontId="0" fillId="15" borderId="36" xfId="0" applyNumberFormat="1" applyFill="1" applyBorder="1" applyAlignment="1">
      <alignment horizontal="center" vertical="center"/>
    </xf>
    <xf numFmtId="0" fontId="0" fillId="15" borderId="37" xfId="0" applyFill="1" applyBorder="1" applyAlignment="1">
      <alignment horizontal="center" vertical="center"/>
    </xf>
    <xf numFmtId="166" fontId="1" fillId="15" borderId="10" xfId="3" applyNumberFormat="1" applyFill="1" applyBorder="1" applyAlignment="1">
      <alignment horizontal="center" vertical="center"/>
    </xf>
    <xf numFmtId="166" fontId="1" fillId="15" borderId="30" xfId="3" applyNumberFormat="1" applyFill="1" applyBorder="1" applyAlignment="1">
      <alignment horizontal="center" vertical="center"/>
    </xf>
    <xf numFmtId="0" fontId="0" fillId="15" borderId="30" xfId="0" applyFill="1" applyBorder="1" applyAlignment="1">
      <alignment horizontal="center" vertical="center"/>
    </xf>
    <xf numFmtId="0" fontId="1" fillId="15" borderId="30" xfId="3" applyFill="1" applyBorder="1" applyAlignment="1">
      <alignment horizontal="center" vertical="center"/>
    </xf>
    <xf numFmtId="0" fontId="2" fillId="6" borderId="30" xfId="0" applyFont="1" applyFill="1" applyBorder="1" applyAlignment="1">
      <alignment horizontal="center" vertical="center"/>
    </xf>
    <xf numFmtId="166" fontId="2" fillId="6" borderId="30" xfId="3" applyNumberFormat="1" applyFont="1" applyFill="1" applyBorder="1" applyAlignment="1">
      <alignment horizontal="center" vertical="center"/>
    </xf>
    <xf numFmtId="166" fontId="2" fillId="14" borderId="30" xfId="3" applyNumberFormat="1" applyFont="1" applyFill="1" applyBorder="1" applyAlignment="1">
      <alignment horizontal="center" vertical="center"/>
    </xf>
    <xf numFmtId="0" fontId="2" fillId="13" borderId="30" xfId="3" applyFont="1" applyFill="1" applyBorder="1" applyAlignment="1">
      <alignment horizontal="center" vertical="center"/>
    </xf>
    <xf numFmtId="166" fontId="2" fillId="13" borderId="30" xfId="3" applyNumberFormat="1" applyFont="1" applyFill="1" applyBorder="1" applyAlignment="1">
      <alignment horizontal="center" vertical="center"/>
    </xf>
    <xf numFmtId="166" fontId="3" fillId="0" borderId="0" xfId="3" applyNumberFormat="1" applyFont="1" applyAlignment="1">
      <alignment horizontal="center" vertical="center"/>
    </xf>
    <xf numFmtId="166" fontId="3" fillId="0" borderId="0" xfId="3" applyNumberFormat="1" applyFont="1"/>
    <xf numFmtId="166" fontId="4" fillId="0" borderId="0" xfId="3" applyNumberFormat="1" applyFont="1" applyAlignment="1">
      <alignment horizontal="right"/>
    </xf>
    <xf numFmtId="166" fontId="1" fillId="0" borderId="0" xfId="3" applyNumberFormat="1" applyAlignment="1">
      <alignment horizontal="center" vertical="center"/>
    </xf>
    <xf numFmtId="166" fontId="50" fillId="6" borderId="24" xfId="3" applyNumberFormat="1" applyFont="1" applyFill="1" applyBorder="1" applyAlignment="1">
      <alignment horizontal="center" vertical="center"/>
    </xf>
    <xf numFmtId="166" fontId="1" fillId="0" borderId="24" xfId="3" applyNumberFormat="1" applyBorder="1" applyAlignment="1">
      <alignment horizontal="center" vertical="center"/>
    </xf>
    <xf numFmtId="166" fontId="2" fillId="0" borderId="30" xfId="3" applyNumberFormat="1" applyFont="1" applyBorder="1" applyAlignment="1">
      <alignment horizontal="center" vertical="center"/>
    </xf>
    <xf numFmtId="2" fontId="5" fillId="2" borderId="17" xfId="3" applyNumberFormat="1" applyFont="1" applyFill="1" applyBorder="1" applyAlignment="1">
      <alignment horizontal="center"/>
    </xf>
    <xf numFmtId="166" fontId="1" fillId="15" borderId="11" xfId="3" applyNumberFormat="1" applyFill="1" applyBorder="1" applyAlignment="1">
      <alignment horizontal="center" vertical="center"/>
    </xf>
    <xf numFmtId="2" fontId="13" fillId="2" borderId="34" xfId="3" applyNumberFormat="1" applyFont="1" applyFill="1" applyBorder="1" applyProtection="1">
      <protection locked="0"/>
    </xf>
    <xf numFmtId="2" fontId="46" fillId="2" borderId="26" xfId="1" applyNumberFormat="1" applyFont="1" applyFill="1" applyBorder="1" applyAlignment="1" applyProtection="1">
      <alignment vertical="center"/>
      <protection locked="0"/>
    </xf>
    <xf numFmtId="2" fontId="46" fillId="2" borderId="27" xfId="1" applyNumberFormat="1" applyFont="1" applyFill="1" applyBorder="1" applyAlignment="1" applyProtection="1">
      <alignment vertical="center"/>
      <protection locked="0"/>
    </xf>
    <xf numFmtId="2" fontId="46" fillId="2" borderId="28" xfId="3" applyNumberFormat="1" applyFont="1" applyFill="1" applyBorder="1" applyProtection="1">
      <protection locked="0"/>
    </xf>
    <xf numFmtId="2" fontId="46" fillId="2" borderId="31" xfId="3" applyNumberFormat="1" applyFont="1" applyFill="1" applyBorder="1" applyAlignment="1" applyProtection="1">
      <alignment horizontal="center"/>
      <protection locked="0"/>
    </xf>
    <xf numFmtId="166" fontId="46" fillId="2" borderId="30" xfId="3" applyNumberFormat="1" applyFont="1" applyFill="1" applyBorder="1" applyAlignment="1" applyProtection="1">
      <alignment horizontal="center"/>
      <protection locked="0"/>
    </xf>
    <xf numFmtId="1" fontId="46" fillId="2" borderId="30" xfId="3" applyNumberFormat="1" applyFont="1" applyFill="1" applyBorder="1" applyAlignment="1" applyProtection="1">
      <alignment horizontal="center"/>
      <protection locked="0"/>
    </xf>
    <xf numFmtId="166" fontId="50" fillId="0" borderId="0" xfId="3" applyNumberFormat="1" applyFont="1" applyAlignment="1">
      <alignment horizontal="center" vertical="center"/>
    </xf>
    <xf numFmtId="2" fontId="2" fillId="0" borderId="30" xfId="3" applyNumberFormat="1" applyFont="1" applyBorder="1" applyAlignment="1">
      <alignment horizontal="center" vertical="center"/>
    </xf>
    <xf numFmtId="168" fontId="48" fillId="3" borderId="30" xfId="0" applyNumberFormat="1" applyFont="1" applyFill="1" applyBorder="1"/>
    <xf numFmtId="0" fontId="6" fillId="2" borderId="44" xfId="3" applyFont="1" applyFill="1" applyBorder="1"/>
    <xf numFmtId="0" fontId="2" fillId="0" borderId="30" xfId="3" applyFont="1" applyBorder="1" applyAlignment="1">
      <alignment horizontal="center" vertical="center"/>
    </xf>
    <xf numFmtId="166" fontId="2" fillId="12" borderId="30" xfId="3" applyNumberFormat="1" applyFont="1" applyFill="1" applyBorder="1" applyAlignment="1">
      <alignment horizontal="center" vertical="center"/>
    </xf>
    <xf numFmtId="2" fontId="2" fillId="6" borderId="30" xfId="3" applyNumberFormat="1" applyFont="1" applyFill="1" applyBorder="1" applyAlignment="1">
      <alignment horizontal="center" vertical="center"/>
    </xf>
    <xf numFmtId="2" fontId="2" fillId="0" borderId="0" xfId="3" applyNumberFormat="1" applyFont="1" applyAlignment="1">
      <alignment horizontal="center" vertical="center"/>
    </xf>
    <xf numFmtId="0" fontId="2" fillId="6" borderId="39" xfId="3" applyFont="1" applyFill="1" applyBorder="1"/>
    <xf numFmtId="0" fontId="2" fillId="6" borderId="39" xfId="3" applyFont="1" applyFill="1" applyBorder="1" applyAlignment="1">
      <alignment vertical="center"/>
    </xf>
    <xf numFmtId="0" fontId="2" fillId="16" borderId="38" xfId="3" applyFont="1" applyFill="1" applyBorder="1" applyAlignment="1">
      <alignment horizontal="center"/>
    </xf>
    <xf numFmtId="0" fontId="2" fillId="14" borderId="38" xfId="3" applyFont="1" applyFill="1" applyBorder="1" applyAlignment="1">
      <alignment horizontal="center" vertical="center"/>
    </xf>
    <xf numFmtId="0" fontId="2" fillId="14" borderId="30" xfId="3" applyFont="1" applyFill="1" applyBorder="1" applyAlignment="1">
      <alignment horizontal="center" vertical="center"/>
    </xf>
    <xf numFmtId="166" fontId="4" fillId="0" borderId="0" xfId="3" applyNumberFormat="1" applyFont="1" applyAlignment="1">
      <alignment horizontal="center" vertical="center"/>
    </xf>
    <xf numFmtId="2" fontId="2" fillId="6" borderId="38" xfId="3" applyNumberFormat="1" applyFont="1" applyFill="1" applyBorder="1" applyAlignment="1">
      <alignment horizontal="center" vertical="center"/>
    </xf>
    <xf numFmtId="0" fontId="0" fillId="15" borderId="45" xfId="0" applyFill="1" applyBorder="1" applyAlignment="1">
      <alignment horizontal="center" vertical="center"/>
    </xf>
    <xf numFmtId="0" fontId="0" fillId="15" borderId="46" xfId="0" applyFill="1" applyBorder="1" applyAlignment="1">
      <alignment horizontal="center" vertical="center"/>
    </xf>
    <xf numFmtId="0" fontId="0" fillId="15" borderId="47" xfId="0" applyFill="1" applyBorder="1" applyAlignment="1">
      <alignment horizontal="center" vertical="center"/>
    </xf>
    <xf numFmtId="0" fontId="5" fillId="2" borderId="17" xfId="3" applyFont="1" applyFill="1" applyBorder="1"/>
    <xf numFmtId="0" fontId="38" fillId="2" borderId="32" xfId="3" applyFont="1" applyFill="1" applyBorder="1"/>
    <xf numFmtId="0" fontId="2" fillId="17" borderId="38" xfId="3" applyFont="1" applyFill="1" applyBorder="1" applyAlignment="1">
      <alignment horizontal="center"/>
    </xf>
    <xf numFmtId="165" fontId="2" fillId="18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14" borderId="43" xfId="3" applyFont="1" applyFill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5" fontId="1" fillId="13" borderId="0" xfId="0" applyNumberFormat="1" applyFont="1" applyFill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2" fontId="13" fillId="2" borderId="27" xfId="3" applyNumberFormat="1" applyFont="1" applyFill="1" applyBorder="1" applyProtection="1">
      <protection locked="0"/>
    </xf>
    <xf numFmtId="2" fontId="16" fillId="2" borderId="17" xfId="3" applyNumberFormat="1" applyFont="1" applyFill="1" applyBorder="1" applyAlignment="1">
      <alignment horizontal="center"/>
    </xf>
    <xf numFmtId="2" fontId="16" fillId="2" borderId="20" xfId="3" applyNumberFormat="1" applyFont="1" applyFill="1" applyBorder="1" applyAlignment="1">
      <alignment horizontal="center"/>
    </xf>
    <xf numFmtId="166" fontId="1" fillId="0" borderId="30" xfId="3" applyNumberFormat="1" applyBorder="1" applyAlignment="1">
      <alignment horizontal="center" vertical="center"/>
    </xf>
    <xf numFmtId="166" fontId="1" fillId="16" borderId="30" xfId="3" applyNumberFormat="1" applyFill="1" applyBorder="1" applyAlignment="1">
      <alignment horizontal="center" vertical="center"/>
    </xf>
    <xf numFmtId="0" fontId="51" fillId="0" borderId="0" xfId="3" applyFont="1"/>
    <xf numFmtId="2" fontId="13" fillId="2" borderId="28" xfId="3" applyNumberFormat="1" applyFont="1" applyFill="1" applyBorder="1" applyProtection="1">
      <protection locked="0"/>
    </xf>
    <xf numFmtId="166" fontId="16" fillId="0" borderId="8" xfId="3" applyNumberFormat="1" applyFont="1" applyBorder="1" applyAlignment="1">
      <alignment horizontal="center" vertical="center"/>
    </xf>
    <xf numFmtId="166" fontId="2" fillId="16" borderId="0" xfId="3" applyNumberFormat="1" applyFont="1" applyFill="1"/>
    <xf numFmtId="166" fontId="2" fillId="19" borderId="0" xfId="3" applyNumberFormat="1" applyFont="1" applyFill="1"/>
    <xf numFmtId="0" fontId="50" fillId="0" borderId="0" xfId="3" applyFont="1"/>
    <xf numFmtId="2" fontId="44" fillId="2" borderId="31" xfId="3" applyNumberFormat="1" applyFont="1" applyFill="1" applyBorder="1" applyAlignment="1" applyProtection="1">
      <alignment horizontal="center"/>
      <protection locked="0"/>
    </xf>
    <xf numFmtId="166" fontId="22" fillId="2" borderId="16" xfId="3" applyNumberFormat="1" applyFont="1" applyFill="1" applyBorder="1" applyAlignment="1" applyProtection="1">
      <alignment horizontal="center" vertical="center"/>
      <protection locked="0"/>
    </xf>
    <xf numFmtId="2" fontId="13" fillId="2" borderId="26" xfId="3" applyNumberFormat="1" applyFont="1" applyFill="1" applyBorder="1" applyProtection="1">
      <protection locked="0"/>
    </xf>
    <xf numFmtId="2" fontId="13" fillId="2" borderId="27" xfId="3" applyNumberFormat="1" applyFont="1" applyFill="1" applyBorder="1" applyAlignment="1" applyProtection="1">
      <alignment vertical="center"/>
      <protection locked="0"/>
    </xf>
    <xf numFmtId="2" fontId="44" fillId="0" borderId="34" xfId="3" applyNumberFormat="1" applyFont="1" applyBorder="1"/>
    <xf numFmtId="2" fontId="2" fillId="10" borderId="0" xfId="3" applyNumberFormat="1" applyFont="1" applyFill="1" applyAlignment="1">
      <alignment horizontal="center" vertical="center"/>
    </xf>
    <xf numFmtId="166" fontId="2" fillId="0" borderId="30" xfId="3" applyNumberFormat="1" applyFont="1" applyBorder="1" applyAlignment="1">
      <alignment horizontal="center"/>
    </xf>
    <xf numFmtId="0" fontId="44" fillId="2" borderId="0" xfId="3" applyFont="1" applyFill="1" applyAlignment="1">
      <alignment vertical="center"/>
    </xf>
    <xf numFmtId="166" fontId="1" fillId="17" borderId="30" xfId="3" applyNumberFormat="1" applyFill="1" applyBorder="1" applyAlignment="1">
      <alignment horizontal="center" vertical="center"/>
    </xf>
    <xf numFmtId="166" fontId="1" fillId="20" borderId="30" xfId="3" applyNumberFormat="1" applyFill="1" applyBorder="1"/>
    <xf numFmtId="166" fontId="1" fillId="6" borderId="30" xfId="3" applyNumberFormat="1" applyFill="1" applyBorder="1" applyAlignment="1">
      <alignment horizontal="center" vertical="center"/>
    </xf>
    <xf numFmtId="166" fontId="1" fillId="12" borderId="30" xfId="3" applyNumberFormat="1" applyFill="1" applyBorder="1" applyAlignment="1">
      <alignment horizontal="center" vertical="center"/>
    </xf>
    <xf numFmtId="0" fontId="1" fillId="6" borderId="30" xfId="3" applyFill="1" applyBorder="1" applyAlignment="1">
      <alignment horizontal="center" vertical="center"/>
    </xf>
    <xf numFmtId="166" fontId="31" fillId="0" borderId="0" xfId="0" applyNumberFormat="1" applyFont="1"/>
    <xf numFmtId="2" fontId="2" fillId="0" borderId="0" xfId="0" applyNumberFormat="1" applyFont="1"/>
    <xf numFmtId="168" fontId="30" fillId="0" borderId="30" xfId="0" applyNumberFormat="1" applyFont="1" applyBorder="1"/>
    <xf numFmtId="2" fontId="31" fillId="0" borderId="0" xfId="0" applyNumberFormat="1" applyFont="1"/>
    <xf numFmtId="2" fontId="0" fillId="0" borderId="0" xfId="3" applyNumberFormat="1" applyFont="1"/>
    <xf numFmtId="2" fontId="13" fillId="2" borderId="44" xfId="3" applyNumberFormat="1" applyFont="1" applyFill="1" applyBorder="1" applyProtection="1">
      <protection locked="0"/>
    </xf>
    <xf numFmtId="0" fontId="0" fillId="0" borderId="3" xfId="3" applyFont="1" applyBorder="1"/>
    <xf numFmtId="166" fontId="2" fillId="0" borderId="43" xfId="3" applyNumberFormat="1" applyFont="1" applyBorder="1" applyAlignment="1">
      <alignment horizontal="center" vertical="center"/>
    </xf>
    <xf numFmtId="2" fontId="2" fillId="0" borderId="43" xfId="3" applyNumberFormat="1" applyFont="1" applyBorder="1" applyAlignment="1">
      <alignment horizontal="center" vertical="center"/>
    </xf>
    <xf numFmtId="2" fontId="2" fillId="21" borderId="0" xfId="3" quotePrefix="1" applyNumberFormat="1" applyFont="1" applyFill="1" applyAlignment="1">
      <alignment horizontal="center" vertical="center"/>
    </xf>
    <xf numFmtId="166" fontId="50" fillId="22" borderId="0" xfId="3" applyNumberFormat="1" applyFont="1" applyFill="1"/>
    <xf numFmtId="2" fontId="2" fillId="22" borderId="0" xfId="3" applyNumberFormat="1" applyFont="1" applyFill="1"/>
    <xf numFmtId="166" fontId="46" fillId="22" borderId="0" xfId="3" applyNumberFormat="1" applyFont="1" applyFill="1" applyAlignment="1" applyProtection="1">
      <alignment horizontal="center"/>
      <protection locked="0"/>
    </xf>
    <xf numFmtId="1" fontId="52" fillId="22" borderId="0" xfId="3" applyNumberFormat="1" applyFont="1" applyFill="1"/>
    <xf numFmtId="0" fontId="52" fillId="22" borderId="0" xfId="3" applyFont="1" applyFill="1"/>
    <xf numFmtId="166" fontId="1" fillId="22" borderId="0" xfId="3" applyNumberFormat="1" applyFill="1"/>
    <xf numFmtId="2" fontId="1" fillId="0" borderId="0" xfId="3" applyNumberFormat="1" applyAlignment="1">
      <alignment horizontal="center" vertical="center"/>
    </xf>
    <xf numFmtId="0" fontId="39" fillId="0" borderId="40" xfId="0" applyFont="1" applyBorder="1" applyAlignment="1">
      <alignment horizontal="left" vertical="center"/>
    </xf>
    <xf numFmtId="0" fontId="29" fillId="0" borderId="41" xfId="3" applyFont="1" applyBorder="1"/>
    <xf numFmtId="0" fontId="53" fillId="0" borderId="41" xfId="0" applyFont="1" applyBorder="1" applyAlignment="1">
      <alignment horizontal="center" vertical="center"/>
    </xf>
    <xf numFmtId="0" fontId="28" fillId="0" borderId="41" xfId="3" applyFont="1" applyBorder="1"/>
    <xf numFmtId="2" fontId="1" fillId="0" borderId="41" xfId="3" applyNumberFormat="1" applyBorder="1"/>
    <xf numFmtId="0" fontId="1" fillId="0" borderId="41" xfId="3" applyBorder="1"/>
    <xf numFmtId="169" fontId="1" fillId="0" borderId="41" xfId="3" applyNumberFormat="1" applyBorder="1"/>
    <xf numFmtId="0" fontId="3" fillId="0" borderId="42" xfId="3" applyFont="1" applyBorder="1"/>
    <xf numFmtId="0" fontId="40" fillId="0" borderId="48" xfId="0" applyFont="1" applyBorder="1" applyAlignment="1">
      <alignment horizontal="left" vertical="center"/>
    </xf>
    <xf numFmtId="0" fontId="28" fillId="2" borderId="16" xfId="3" applyFont="1" applyFill="1" applyBorder="1"/>
    <xf numFmtId="0" fontId="54" fillId="2" borderId="16" xfId="3" applyFont="1" applyFill="1" applyBorder="1"/>
    <xf numFmtId="0" fontId="55" fillId="2" borderId="16" xfId="3" applyFont="1" applyFill="1" applyBorder="1"/>
    <xf numFmtId="0" fontId="16" fillId="2" borderId="16" xfId="3" applyFont="1" applyFill="1" applyBorder="1"/>
    <xf numFmtId="0" fontId="16" fillId="2" borderId="49" xfId="3" applyFont="1" applyFill="1" applyBorder="1"/>
    <xf numFmtId="0" fontId="56" fillId="0" borderId="0" xfId="0" applyFont="1" applyAlignment="1">
      <alignment horizontal="center" vertical="center"/>
    </xf>
    <xf numFmtId="0" fontId="58" fillId="2" borderId="0" xfId="3" applyFont="1" applyFill="1"/>
    <xf numFmtId="0" fontId="59" fillId="2" borderId="0" xfId="3" applyFont="1" applyFill="1"/>
    <xf numFmtId="0" fontId="60" fillId="0" borderId="0" xfId="7" applyFont="1" applyAlignment="1">
      <alignment horizontal="center" vertical="center"/>
    </xf>
    <xf numFmtId="0" fontId="61" fillId="2" borderId="0" xfId="3" applyFont="1" applyFill="1"/>
    <xf numFmtId="0" fontId="62" fillId="2" borderId="0" xfId="3" applyFont="1" applyFill="1"/>
    <xf numFmtId="0" fontId="2" fillId="2" borderId="3" xfId="3" applyFont="1" applyFill="1" applyBorder="1"/>
    <xf numFmtId="0" fontId="1" fillId="2" borderId="0" xfId="3" applyFill="1"/>
    <xf numFmtId="0" fontId="16" fillId="0" borderId="0" xfId="0" applyFont="1" applyAlignment="1">
      <alignment vertical="center"/>
    </xf>
    <xf numFmtId="2" fontId="1" fillId="2" borderId="0" xfId="3" applyNumberFormat="1" applyFill="1"/>
    <xf numFmtId="169" fontId="1" fillId="2" borderId="0" xfId="3" applyNumberFormat="1" applyFill="1"/>
    <xf numFmtId="0" fontId="2" fillId="15" borderId="30" xfId="0" applyFont="1" applyFill="1" applyBorder="1" applyAlignment="1">
      <alignment horizontal="center"/>
    </xf>
    <xf numFmtId="0" fontId="5" fillId="2" borderId="3" xfId="3" applyFont="1" applyFill="1" applyBorder="1" applyAlignment="1">
      <alignment horizontal="right"/>
    </xf>
    <xf numFmtId="0" fontId="5" fillId="2" borderId="0" xfId="3" applyFont="1" applyFill="1" applyAlignment="1">
      <alignment horizontal="right"/>
    </xf>
    <xf numFmtId="0" fontId="16" fillId="2" borderId="0" xfId="3" applyFont="1" applyFill="1" applyAlignment="1">
      <alignment horizontal="center"/>
    </xf>
    <xf numFmtId="0" fontId="16" fillId="2" borderId="1" xfId="3" applyFont="1" applyFill="1" applyBorder="1" applyAlignment="1">
      <alignment horizontal="center"/>
    </xf>
    <xf numFmtId="0" fontId="23" fillId="2" borderId="38" xfId="3" applyFont="1" applyFill="1" applyBorder="1" applyAlignment="1">
      <alignment horizontal="center"/>
    </xf>
    <xf numFmtId="0" fontId="23" fillId="2" borderId="8" xfId="3" applyFont="1" applyFill="1" applyBorder="1" applyAlignment="1">
      <alignment horizontal="center"/>
    </xf>
    <xf numFmtId="0" fontId="23" fillId="2" borderId="39" xfId="3" applyFont="1" applyFill="1" applyBorder="1" applyAlignment="1">
      <alignment horizontal="center"/>
    </xf>
    <xf numFmtId="166" fontId="1" fillId="6" borderId="36" xfId="3" applyNumberFormat="1" applyFill="1" applyBorder="1" applyAlignment="1">
      <alignment horizontal="center" vertical="center"/>
    </xf>
    <xf numFmtId="166" fontId="1" fillId="6" borderId="43" xfId="3" applyNumberFormat="1" applyFill="1" applyBorder="1" applyAlignment="1">
      <alignment horizontal="center" vertical="center"/>
    </xf>
    <xf numFmtId="166" fontId="1" fillId="17" borderId="30" xfId="3" applyNumberFormat="1" applyFill="1" applyBorder="1" applyAlignment="1">
      <alignment horizontal="center"/>
    </xf>
    <xf numFmtId="166" fontId="1" fillId="17" borderId="38" xfId="3" applyNumberFormat="1" applyFill="1" applyBorder="1" applyAlignment="1">
      <alignment horizontal="center"/>
    </xf>
    <xf numFmtId="172" fontId="44" fillId="2" borderId="4" xfId="3" applyNumberFormat="1" applyFont="1" applyFill="1" applyBorder="1" applyAlignment="1">
      <alignment horizontal="center"/>
    </xf>
    <xf numFmtId="172" fontId="44" fillId="2" borderId="5" xfId="3" applyNumberFormat="1" applyFont="1" applyFill="1" applyBorder="1" applyAlignment="1">
      <alignment horizontal="center"/>
    </xf>
    <xf numFmtId="172" fontId="44" fillId="2" borderId="6" xfId="3" applyNumberFormat="1" applyFont="1" applyFill="1" applyBorder="1" applyAlignment="1">
      <alignment horizontal="center"/>
    </xf>
    <xf numFmtId="0" fontId="16" fillId="2" borderId="0" xfId="3" applyFont="1" applyFill="1" applyAlignment="1">
      <alignment horizontal="left"/>
    </xf>
    <xf numFmtId="0" fontId="8" fillId="2" borderId="0" xfId="3" applyFont="1" applyFill="1"/>
    <xf numFmtId="0" fontId="0" fillId="0" borderId="0" xfId="0"/>
    <xf numFmtId="169" fontId="7" fillId="2" borderId="0" xfId="3" applyNumberFormat="1" applyFont="1" applyFill="1"/>
  </cellXfs>
  <cellStyles count="8">
    <cellStyle name="Comma" xfId="1" builtinId="3"/>
    <cellStyle name="Comma 2" xfId="5" xr:uid="{12F80210-EA38-49BF-AF81-350A5869706B}"/>
    <cellStyle name="Hyperlink" xfId="7" builtinId="8"/>
    <cellStyle name="Normal" xfId="0" builtinId="0"/>
    <cellStyle name="Normal 2" xfId="2" xr:uid="{00000000-0005-0000-0000-000002000000}"/>
    <cellStyle name="Normal 3 2" xfId="6" xr:uid="{091F4AB2-5E67-42C1-9ADE-90D209A43606}"/>
    <cellStyle name="Normal_CO Draft Survey metric " xfId="3" xr:uid="{00000000-0005-0000-0000-000003000000}"/>
    <cellStyle name="Normalny_cgo plan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114118</xdr:colOff>
      <xdr:row>0</xdr:row>
      <xdr:rowOff>18144</xdr:rowOff>
    </xdr:from>
    <xdr:ext cx="2970978" cy="87055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8654A5F4-D272-2238-DECB-E0BB8DF027E3}"/>
            </a:ext>
          </a:extLst>
        </xdr:cNvPr>
        <xdr:cNvSpPr/>
      </xdr:nvSpPr>
      <xdr:spPr>
        <a:xfrm>
          <a:off x="5615214" y="18144"/>
          <a:ext cx="2911929" cy="87992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5400" b="1" cap="none" spc="0">
              <a:ln w="31550" cmpd="sng">
                <a:gradFill>
                  <a:gsLst>
                    <a:gs pos="25000">
                      <a:schemeClr val="accent1">
                        <a:shade val="25000"/>
                        <a:satMod val="190000"/>
                      </a:schemeClr>
                    </a:gs>
                    <a:gs pos="80000">
                      <a:schemeClr val="accent1">
                        <a:tint val="75000"/>
                        <a:satMod val="190000"/>
                      </a:schemeClr>
                    </a:gs>
                  </a:gsLst>
                  <a:lin ang="5400000"/>
                </a:gra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</a:effectLst>
            </a:rPr>
            <a:t>	 </a:t>
          </a:r>
        </a:p>
      </xdr:txBody>
    </xdr:sp>
    <xdr:clientData/>
  </xdr:oneCellAnchor>
  <xdr:oneCellAnchor>
    <xdr:from>
      <xdr:col>9</xdr:col>
      <xdr:colOff>114118</xdr:colOff>
      <xdr:row>0</xdr:row>
      <xdr:rowOff>18144</xdr:rowOff>
    </xdr:from>
    <xdr:ext cx="2938060" cy="853181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A97E691-BE26-BB20-1987-659B7EB34625}"/>
            </a:ext>
          </a:extLst>
        </xdr:cNvPr>
        <xdr:cNvSpPr/>
      </xdr:nvSpPr>
      <xdr:spPr>
        <a:xfrm>
          <a:off x="5747838" y="18144"/>
          <a:ext cx="2930321" cy="86572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5400" b="1" cap="none" spc="0">
              <a:ln w="31550" cmpd="sng">
                <a:gradFill>
                  <a:gsLst>
                    <a:gs pos="25000">
                      <a:schemeClr val="accent1">
                        <a:shade val="25000"/>
                        <a:satMod val="190000"/>
                      </a:schemeClr>
                    </a:gs>
                    <a:gs pos="80000">
                      <a:schemeClr val="accent1">
                        <a:tint val="75000"/>
                        <a:satMod val="190000"/>
                      </a:schemeClr>
                    </a:gs>
                  </a:gsLst>
                  <a:lin ang="5400000"/>
                </a:gra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</a:effectLst>
            </a:rPr>
            <a:t>	 </a:t>
          </a:r>
        </a:p>
      </xdr:txBody>
    </xdr:sp>
    <xdr:clientData/>
  </xdr:oneCellAnchor>
  <xdr:oneCellAnchor>
    <xdr:from>
      <xdr:col>9</xdr:col>
      <xdr:colOff>114118</xdr:colOff>
      <xdr:row>0</xdr:row>
      <xdr:rowOff>18144</xdr:rowOff>
    </xdr:from>
    <xdr:ext cx="2962929" cy="844263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85B8526-A4B2-E165-985A-822EFE1164BC}"/>
            </a:ext>
          </a:extLst>
        </xdr:cNvPr>
        <xdr:cNvSpPr/>
      </xdr:nvSpPr>
      <xdr:spPr>
        <a:xfrm>
          <a:off x="5747838" y="18144"/>
          <a:ext cx="2935422" cy="85799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sz="5400" b="1" cap="none" spc="0">
              <a:ln w="31550" cmpd="sng">
                <a:gradFill>
                  <a:gsLst>
                    <a:gs pos="25000">
                      <a:schemeClr val="accent1">
                        <a:shade val="25000"/>
                        <a:satMod val="190000"/>
                      </a:schemeClr>
                    </a:gs>
                    <a:gs pos="80000">
                      <a:schemeClr val="accent1">
                        <a:tint val="75000"/>
                        <a:satMod val="190000"/>
                      </a:schemeClr>
                    </a:gs>
                  </a:gsLst>
                  <a:lin ang="5400000"/>
                </a:gradFill>
                <a:prstDash val="solid"/>
              </a:ln>
              <a:solidFill>
                <a:srgbClr val="FFFFFF"/>
              </a:solidFill>
              <a:effectLst>
                <a:outerShdw blurRad="41275" dist="12700" dir="12000000" algn="tl" rotWithShape="0">
                  <a:srgbClr val="000000">
                    <a:alpha val="40000"/>
                  </a:srgbClr>
                </a:outerShdw>
              </a:effectLst>
            </a:rPr>
            <a:t>	 </a:t>
          </a:r>
        </a:p>
      </xdr:txBody>
    </xdr:sp>
    <xdr:clientData/>
  </xdr:oneCellAnchor>
  <xdr:oneCellAnchor>
    <xdr:from>
      <xdr:col>9</xdr:col>
      <xdr:colOff>114118</xdr:colOff>
      <xdr:row>0</xdr:row>
      <xdr:rowOff>18144</xdr:rowOff>
    </xdr:from>
    <xdr:ext cx="2967307" cy="870559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6A910FC2-268C-10FA-F461-B115E404B02A}"/>
            </a:ext>
          </a:extLst>
        </xdr:cNvPr>
        <xdr:cNvSpPr/>
      </xdr:nvSpPr>
      <xdr:spPr>
        <a:xfrm>
          <a:off x="5747838" y="18144"/>
          <a:ext cx="2933871" cy="87345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5400" b="1" cap="none" spc="0">
            <a:ln w="31550" cmpd="sng">
              <a:gradFill>
                <a:gsLst>
                  <a:gs pos="25000">
                    <a:schemeClr val="accent1">
                      <a:shade val="25000"/>
                      <a:satMod val="190000"/>
                    </a:schemeClr>
                  </a:gs>
                  <a:gs pos="80000">
                    <a:schemeClr val="accent1">
                      <a:tint val="75000"/>
                      <a:satMod val="190000"/>
                    </a:schemeClr>
                  </a:gs>
                </a:gsLst>
                <a:lin ang="5400000"/>
              </a:gradFill>
              <a:prstDash val="solid"/>
            </a:ln>
            <a:solidFill>
              <a:srgbClr val="FFFFFF"/>
            </a:solidFill>
            <a:effectLst>
              <a:outerShdw blurRad="41275" dist="12700" dir="120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AT203"/>
  <sheetViews>
    <sheetView tabSelected="1" topLeftCell="A33" zoomScale="110" zoomScaleNormal="110" zoomScaleSheetLayoutView="105" workbookViewId="0">
      <selection activeCell="F27" sqref="F27"/>
    </sheetView>
  </sheetViews>
  <sheetFormatPr defaultColWidth="8" defaultRowHeight="12.5"/>
  <cols>
    <col min="1" max="3" width="8" style="1" customWidth="1"/>
    <col min="4" max="4" width="13.453125" style="1" customWidth="1"/>
    <col min="5" max="5" width="8" style="1" customWidth="1"/>
    <col min="6" max="6" width="10.1796875" style="2" customWidth="1"/>
    <col min="7" max="7" width="7.26953125" style="1" customWidth="1"/>
    <col min="8" max="8" width="8" style="1" customWidth="1"/>
    <col min="9" max="9" width="10.81640625" style="3" customWidth="1"/>
    <col min="10" max="10" width="7.7265625" style="1" customWidth="1"/>
    <col min="11" max="11" width="8" style="1" customWidth="1"/>
    <col min="12" max="12" width="10.7265625" style="1" customWidth="1"/>
    <col min="13" max="13" width="12.7265625" style="1" customWidth="1"/>
    <col min="14" max="14" width="11.7265625" style="1" customWidth="1"/>
    <col min="15" max="15" width="10.7265625" style="1" customWidth="1"/>
    <col min="16" max="16" width="13.453125" style="1" customWidth="1"/>
    <col min="17" max="17" width="11.54296875" style="1" customWidth="1"/>
    <col min="18" max="25" width="10.7265625" style="1" customWidth="1"/>
    <col min="26" max="26" width="11.7265625" style="1" customWidth="1"/>
    <col min="27" max="27" width="13.7265625" style="1" customWidth="1"/>
    <col min="28" max="28" width="11.7265625" style="1" customWidth="1"/>
    <col min="29" max="30" width="10.7265625" style="1" customWidth="1"/>
    <col min="31" max="33" width="11.7265625" style="1" customWidth="1"/>
    <col min="34" max="46" width="10.7265625" style="1" customWidth="1"/>
    <col min="47" max="107" width="15.7265625" style="1" customWidth="1"/>
    <col min="108" max="108" width="6.453125" style="1" customWidth="1"/>
    <col min="109" max="109" width="18.453125" style="1" customWidth="1"/>
    <col min="110" max="16384" width="8" style="1"/>
  </cols>
  <sheetData>
    <row r="1" spans="1:46" ht="27" customHeight="1">
      <c r="A1" s="304"/>
      <c r="B1" s="305"/>
      <c r="C1" s="305"/>
      <c r="D1" s="306"/>
      <c r="E1" s="307"/>
      <c r="F1" s="308"/>
      <c r="G1" s="309"/>
      <c r="H1" s="309"/>
      <c r="I1" s="310"/>
      <c r="J1" s="309"/>
      <c r="K1" s="309"/>
      <c r="L1" s="309"/>
      <c r="M1" s="309"/>
      <c r="N1" s="311"/>
      <c r="P1" s="118"/>
      <c r="Q1" s="195" t="s">
        <v>67</v>
      </c>
      <c r="R1"/>
      <c r="S1" s="119" t="s">
        <v>10</v>
      </c>
      <c r="T1" s="119" t="s">
        <v>81</v>
      </c>
      <c r="U1" s="119" t="s">
        <v>12</v>
      </c>
      <c r="V1"/>
      <c r="W1"/>
      <c r="X1"/>
      <c r="Y1"/>
      <c r="Z1"/>
      <c r="AA1"/>
      <c r="AB1"/>
    </row>
    <row r="2" spans="1:46" ht="16.5" customHeight="1">
      <c r="A2" s="312"/>
      <c r="B2" s="313"/>
      <c r="C2" s="313"/>
      <c r="D2" s="313"/>
      <c r="E2" s="314"/>
      <c r="F2" s="315"/>
      <c r="G2" s="315"/>
      <c r="H2" s="315"/>
      <c r="I2" s="315"/>
      <c r="J2" s="315"/>
      <c r="K2" s="315"/>
      <c r="L2" s="316"/>
      <c r="M2" s="316"/>
      <c r="N2" s="317"/>
      <c r="O2" s="244" t="s">
        <v>153</v>
      </c>
      <c r="P2" s="246">
        <v>2000</v>
      </c>
      <c r="Q2" s="280">
        <v>2.6</v>
      </c>
      <c r="R2" s="136" t="s">
        <v>5</v>
      </c>
      <c r="S2" s="183">
        <f>H17</f>
        <v>5.17</v>
      </c>
      <c r="T2" s="183">
        <f>H18</f>
        <v>5.16</v>
      </c>
      <c r="U2" s="120">
        <f>(S2+T2)/2</f>
        <v>5.165</v>
      </c>
      <c r="V2" s="119" t="s">
        <v>82</v>
      </c>
      <c r="W2" s="185">
        <f>I20</f>
        <v>1.0149999999999999</v>
      </c>
      <c r="X2"/>
      <c r="Y2" s="119" t="s">
        <v>83</v>
      </c>
      <c r="Z2"/>
      <c r="AA2" s="122" t="str">
        <f>O2</f>
        <v>HOLD 2</v>
      </c>
      <c r="AB2" s="122" t="str">
        <f>O4</f>
        <v>HOLD 8</v>
      </c>
    </row>
    <row r="3" spans="1:46" ht="12.75" customHeight="1">
      <c r="A3" s="158"/>
      <c r="B3" s="151"/>
      <c r="C3" s="151"/>
      <c r="E3" s="318" t="s">
        <v>160</v>
      </c>
      <c r="F3" s="9"/>
      <c r="G3" s="9"/>
      <c r="H3" s="9"/>
      <c r="I3" s="9"/>
      <c r="J3" s="9"/>
      <c r="K3" s="9"/>
      <c r="L3" s="9"/>
      <c r="M3" s="9"/>
      <c r="N3" s="89"/>
      <c r="O3" s="4"/>
      <c r="P3" s="199"/>
      <c r="Q3" s="280">
        <v>-0.1</v>
      </c>
      <c r="R3" s="136" t="s">
        <v>8</v>
      </c>
      <c r="S3" s="183">
        <f>I17</f>
        <v>5.89</v>
      </c>
      <c r="T3" s="183">
        <f>I18</f>
        <v>5.88</v>
      </c>
      <c r="U3" s="123">
        <f>(S3+T3)/2</f>
        <v>5.8849999999999998</v>
      </c>
      <c r="V3"/>
      <c r="W3"/>
      <c r="X3"/>
      <c r="Y3"/>
      <c r="Z3" s="119" t="s">
        <v>5</v>
      </c>
      <c r="AA3" s="121">
        <f>Q2</f>
        <v>2.6</v>
      </c>
      <c r="AB3" s="121">
        <f>Q4</f>
        <v>-0.5</v>
      </c>
    </row>
    <row r="4" spans="1:46" ht="12.75" customHeight="1">
      <c r="A4" s="159"/>
      <c r="B4" s="151"/>
      <c r="C4" s="151"/>
      <c r="D4" s="151"/>
      <c r="E4" s="318" t="s">
        <v>161</v>
      </c>
      <c r="F4" s="9"/>
      <c r="G4" s="9"/>
      <c r="H4" s="9"/>
      <c r="I4" s="151"/>
      <c r="J4" s="9"/>
      <c r="K4" s="9"/>
      <c r="L4" s="9"/>
      <c r="M4" s="9"/>
      <c r="N4" s="89"/>
      <c r="O4" s="244" t="s">
        <v>155</v>
      </c>
      <c r="P4" s="256">
        <v>2000</v>
      </c>
      <c r="Q4" s="280">
        <v>-0.5</v>
      </c>
      <c r="R4" s="136" t="s">
        <v>4</v>
      </c>
      <c r="S4" s="183">
        <f>J17</f>
        <v>6.66</v>
      </c>
      <c r="T4" s="183">
        <f>J18</f>
        <v>6.65</v>
      </c>
      <c r="U4" s="120">
        <f>(S4+T4)/2</f>
        <v>6.6550000000000002</v>
      </c>
      <c r="V4">
        <v>0</v>
      </c>
      <c r="W4"/>
      <c r="X4"/>
      <c r="Y4"/>
      <c r="Z4" s="119" t="s">
        <v>4</v>
      </c>
      <c r="AA4" s="144">
        <f>Q3</f>
        <v>-0.1</v>
      </c>
      <c r="AB4" s="144">
        <f>Q5</f>
        <v>1.9</v>
      </c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</row>
    <row r="5" spans="1:46" ht="15.5">
      <c r="A5" s="160"/>
      <c r="B5" s="9"/>
      <c r="C5" s="320" t="s">
        <v>162</v>
      </c>
      <c r="D5" s="320"/>
      <c r="E5" s="321"/>
      <c r="F5" s="322"/>
      <c r="G5" s="323"/>
      <c r="H5" s="323"/>
      <c r="I5" s="323"/>
      <c r="J5" s="323"/>
      <c r="K5" s="323"/>
      <c r="L5" s="319"/>
      <c r="N5" s="89"/>
      <c r="O5" s="4"/>
      <c r="P5" s="4"/>
      <c r="Q5" s="280">
        <v>1.9</v>
      </c>
      <c r="R5"/>
      <c r="S5" s="119"/>
      <c r="T5" s="119" t="s">
        <v>84</v>
      </c>
      <c r="U5" s="120">
        <f>U4-U2</f>
        <v>1.4900000000000002</v>
      </c>
      <c r="V5">
        <v>0</v>
      </c>
      <c r="W5"/>
      <c r="X5"/>
      <c r="Y5"/>
      <c r="Z5"/>
      <c r="AA5"/>
      <c r="AB5">
        <v>0</v>
      </c>
      <c r="AD5" s="2"/>
      <c r="AE5" s="2"/>
      <c r="AF5" s="2"/>
      <c r="AG5" s="2"/>
      <c r="AH5" s="2"/>
      <c r="AI5" s="2"/>
      <c r="AJ5" s="2"/>
      <c r="AK5" s="2"/>
    </row>
    <row r="6" spans="1:46" ht="27">
      <c r="A6" s="334" t="s">
        <v>112</v>
      </c>
      <c r="B6" s="335"/>
      <c r="C6" s="335"/>
      <c r="D6" s="335"/>
      <c r="E6" s="335"/>
      <c r="F6" s="335"/>
      <c r="G6" s="335"/>
      <c r="H6" s="335"/>
      <c r="I6" s="335"/>
      <c r="J6" s="335"/>
      <c r="K6" s="335"/>
      <c r="L6" s="335"/>
      <c r="M6" s="335"/>
      <c r="N6" s="336"/>
      <c r="O6" s="245" t="s">
        <v>144</v>
      </c>
      <c r="P6" s="247">
        <v>0</v>
      </c>
      <c r="Q6" s="259">
        <v>2.1</v>
      </c>
      <c r="R6"/>
      <c r="S6" s="119"/>
      <c r="T6" s="119" t="s">
        <v>85</v>
      </c>
      <c r="U6" s="124">
        <f>U3-(U4+U2)/2</f>
        <v>-2.5000000000000355E-2</v>
      </c>
      <c r="V6"/>
      <c r="W6"/>
      <c r="X6"/>
      <c r="Y6"/>
      <c r="Z6" s="119" t="s">
        <v>86</v>
      </c>
      <c r="AA6"/>
      <c r="AB6" s="125">
        <f>ABS((AA3)+ABS(AB3)+ABS(AA4)+ABS(AB4))/100</f>
        <v>5.0999999999999997E-2</v>
      </c>
    </row>
    <row r="7" spans="1:46" ht="14">
      <c r="A7" s="324" t="s">
        <v>73</v>
      </c>
      <c r="B7" s="325"/>
      <c r="C7" s="325"/>
      <c r="D7" s="326" t="s">
        <v>156</v>
      </c>
      <c r="E7" s="325"/>
      <c r="F7" s="327"/>
      <c r="G7" s="325"/>
      <c r="H7" s="325"/>
      <c r="I7" s="328"/>
      <c r="J7" s="325"/>
      <c r="K7" s="325"/>
      <c r="L7" s="332"/>
      <c r="M7" s="332"/>
      <c r="N7" s="333"/>
      <c r="O7" s="118"/>
      <c r="P7" s="146"/>
      <c r="Q7" s="248"/>
      <c r="R7"/>
      <c r="S7" s="119" t="s">
        <v>87</v>
      </c>
      <c r="T7" s="119"/>
      <c r="U7" s="125">
        <f>(U4+U2)/2</f>
        <v>5.91</v>
      </c>
      <c r="V7"/>
      <c r="W7"/>
      <c r="X7"/>
      <c r="Y7"/>
      <c r="Z7"/>
      <c r="AA7">
        <v>5.8</v>
      </c>
      <c r="AB7"/>
      <c r="AC7" s="4"/>
      <c r="AD7" s="4"/>
      <c r="AE7" s="4"/>
      <c r="AL7" s="4"/>
      <c r="AM7" s="4"/>
      <c r="AN7" s="4"/>
      <c r="AO7" s="4"/>
      <c r="AP7" s="4"/>
      <c r="AQ7" s="4"/>
      <c r="AR7" s="4"/>
      <c r="AS7" s="4"/>
      <c r="AT7" s="4"/>
    </row>
    <row r="8" spans="1:46" ht="18">
      <c r="A8" s="161" t="s">
        <v>63</v>
      </c>
      <c r="B8" s="9"/>
      <c r="C8" s="63"/>
      <c r="D8" s="281" t="s">
        <v>157</v>
      </c>
      <c r="E8" s="63"/>
      <c r="F8" s="83"/>
      <c r="G8" s="162"/>
      <c r="H8" s="63"/>
      <c r="I8" s="163"/>
      <c r="J8" s="164"/>
      <c r="K8" s="164"/>
      <c r="L8" s="164"/>
      <c r="M8" s="164"/>
      <c r="N8" s="12"/>
      <c r="O8" s="268"/>
      <c r="P8" s="143"/>
      <c r="R8"/>
      <c r="S8" s="119" t="s">
        <v>88</v>
      </c>
      <c r="T8" s="119"/>
      <c r="U8" s="185">
        <f>P14</f>
        <v>16.399999999999999</v>
      </c>
      <c r="V8"/>
      <c r="W8"/>
      <c r="X8"/>
      <c r="Y8"/>
      <c r="Z8"/>
      <c r="AA8"/>
      <c r="AB8"/>
      <c r="AC8" s="5"/>
      <c r="AD8" s="5"/>
      <c r="AE8" s="5"/>
      <c r="AL8" s="5"/>
      <c r="AM8" s="5"/>
      <c r="AN8" s="5"/>
      <c r="AO8" s="5"/>
      <c r="AP8" s="5"/>
      <c r="AQ8" s="5"/>
      <c r="AR8" s="5"/>
      <c r="AS8" s="5"/>
      <c r="AT8" s="5"/>
    </row>
    <row r="9" spans="1:46" ht="15" customHeight="1">
      <c r="A9" s="161" t="s">
        <v>62</v>
      </c>
      <c r="B9" s="9"/>
      <c r="C9" s="63"/>
      <c r="D9" s="9" t="s">
        <v>158</v>
      </c>
      <c r="E9" s="9"/>
      <c r="F9" s="83"/>
      <c r="G9" s="63"/>
      <c r="H9" s="63"/>
      <c r="I9" s="163"/>
      <c r="J9" s="165"/>
      <c r="K9" s="165"/>
      <c r="L9" s="165"/>
      <c r="M9" s="165"/>
      <c r="N9" s="89"/>
      <c r="O9" s="118"/>
      <c r="P9" s="118"/>
      <c r="R9"/>
      <c r="S9" s="126" t="s">
        <v>89</v>
      </c>
      <c r="T9" s="119"/>
      <c r="U9" s="125">
        <f>IF(U6&gt;0.0000001, (U8-U3), (U8-U7))</f>
        <v>10.489999999999998</v>
      </c>
      <c r="V9"/>
      <c r="W9"/>
      <c r="X9"/>
      <c r="Y9" s="119" t="s">
        <v>90</v>
      </c>
      <c r="Z9"/>
      <c r="AA9"/>
      <c r="AB9"/>
      <c r="AC9" s="5"/>
      <c r="AD9" s="5"/>
      <c r="AE9" s="5"/>
      <c r="AL9" s="5"/>
      <c r="AM9" s="5"/>
      <c r="AN9" s="5"/>
      <c r="AO9" s="5"/>
      <c r="AP9" s="5"/>
      <c r="AQ9" s="5"/>
      <c r="AR9" s="5"/>
      <c r="AS9" s="5"/>
      <c r="AT9" s="5"/>
    </row>
    <row r="10" spans="1:46" ht="15" customHeight="1">
      <c r="A10" s="161" t="s">
        <v>64</v>
      </c>
      <c r="B10" s="9"/>
      <c r="C10" s="9"/>
      <c r="D10" s="9" t="s">
        <v>69</v>
      </c>
      <c r="E10" s="9"/>
      <c r="F10" s="166"/>
      <c r="G10" s="9"/>
      <c r="H10" s="63"/>
      <c r="I10" s="163"/>
      <c r="J10" s="332"/>
      <c r="K10" s="332"/>
      <c r="L10" s="332"/>
      <c r="M10" s="165"/>
      <c r="N10" s="89"/>
      <c r="Q10" s="5"/>
      <c r="R10"/>
      <c r="S10"/>
      <c r="T10"/>
      <c r="U10" s="125"/>
      <c r="V10"/>
      <c r="W10"/>
      <c r="X10"/>
      <c r="Y10" s="119" t="s">
        <v>5</v>
      </c>
      <c r="Z10" s="119" t="s">
        <v>4</v>
      </c>
      <c r="AA10"/>
      <c r="AB10"/>
      <c r="AC10" s="5"/>
      <c r="AD10" s="5"/>
      <c r="AE10" s="5"/>
      <c r="AH10" s="5"/>
      <c r="AI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ht="14">
      <c r="A11" s="167" t="s">
        <v>65</v>
      </c>
      <c r="B11" s="9"/>
      <c r="C11" s="9"/>
      <c r="D11" s="9" t="str">
        <f>IF((E19+G19)/2&lt;F19,"Sagging","Hogging")</f>
        <v>Hogging</v>
      </c>
      <c r="E11" s="168">
        <f>(ABS(((E19+G19)/2)-F19))*100</f>
        <v>1.9000000000000128</v>
      </c>
      <c r="F11" s="166" t="s">
        <v>67</v>
      </c>
      <c r="G11" s="9"/>
      <c r="H11" s="63"/>
      <c r="I11" s="163"/>
      <c r="J11" s="344"/>
      <c r="K11" s="344"/>
      <c r="L11" s="344"/>
      <c r="M11" s="9"/>
      <c r="N11" s="89"/>
      <c r="Q11" s="2"/>
      <c r="R11" s="119" t="s">
        <v>91</v>
      </c>
      <c r="S11" s="119"/>
      <c r="T11" s="119"/>
      <c r="U11" s="140">
        <f>P22</f>
        <v>121.1</v>
      </c>
      <c r="V11"/>
      <c r="W11"/>
      <c r="X11" s="127" t="s">
        <v>76</v>
      </c>
      <c r="Y11" s="120">
        <f>U2</f>
        <v>5.165</v>
      </c>
      <c r="Z11" s="120">
        <f>U4</f>
        <v>6.6550000000000002</v>
      </c>
      <c r="AA11"/>
      <c r="AB11"/>
      <c r="AC11" s="5"/>
      <c r="AD11" s="5"/>
      <c r="AE11" s="5"/>
      <c r="AH11" s="5"/>
      <c r="AI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ht="14.5" thickBot="1">
      <c r="A12" s="169" t="s">
        <v>66</v>
      </c>
      <c r="B12" s="170"/>
      <c r="C12" s="170"/>
      <c r="D12" s="171" t="str">
        <f>IF((H19+J19)/2&lt;I19,"Sagging","Hogging")</f>
        <v>Hogging</v>
      </c>
      <c r="E12" s="172">
        <f>(ABS(((H19+J19)/2)-I19))*100</f>
        <v>2.5000000000000355</v>
      </c>
      <c r="F12" s="173" t="s">
        <v>67</v>
      </c>
      <c r="G12" s="170"/>
      <c r="H12" s="170"/>
      <c r="I12" s="174"/>
      <c r="J12" s="175"/>
      <c r="K12" s="176"/>
      <c r="L12" s="14"/>
      <c r="M12" s="14"/>
      <c r="N12" s="177"/>
      <c r="O12" s="4" t="s">
        <v>102</v>
      </c>
      <c r="P12" s="157">
        <v>18.321999999999999</v>
      </c>
      <c r="Q12" s="243">
        <v>205429.1</v>
      </c>
      <c r="R12" s="126" t="s">
        <v>92</v>
      </c>
      <c r="S12" s="119"/>
      <c r="T12" s="119"/>
      <c r="U12" s="125">
        <f>(U11/1.025)*W2</f>
        <v>119.91853658536586</v>
      </c>
      <c r="V12"/>
      <c r="W12" s="258" t="s">
        <v>140</v>
      </c>
      <c r="X12" s="128" t="str">
        <f>AB2</f>
        <v>HOLD 8</v>
      </c>
      <c r="Y12" s="129">
        <f>(AB3/10000)*X13</f>
        <v>-3.1837771683405069</v>
      </c>
      <c r="Z12" s="129">
        <f>(AB4/10000)*X13</f>
        <v>12.098353239693925</v>
      </c>
      <c r="AA12"/>
      <c r="AB12"/>
      <c r="AC12" s="5"/>
      <c r="AD12" s="5"/>
      <c r="AE12" s="5"/>
      <c r="AH12" s="5"/>
      <c r="AI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ht="14.5" thickBot="1">
      <c r="A13" s="15"/>
      <c r="B13" s="16"/>
      <c r="C13" s="16"/>
      <c r="D13" s="16"/>
      <c r="E13" s="16"/>
      <c r="F13" s="17"/>
      <c r="G13" s="16"/>
      <c r="H13" s="16"/>
      <c r="I13" s="18"/>
      <c r="J13" s="19"/>
      <c r="K13" s="16"/>
      <c r="L13" s="20"/>
      <c r="M13" s="20"/>
      <c r="N13" s="21"/>
      <c r="O13" s="182" t="s">
        <v>80</v>
      </c>
      <c r="P13" s="181">
        <v>17.940999999999999</v>
      </c>
      <c r="Q13" s="279">
        <v>200769.2</v>
      </c>
      <c r="R13" s="119" t="s">
        <v>93</v>
      </c>
      <c r="S13" s="119"/>
      <c r="T13" s="119"/>
      <c r="U13" s="130">
        <f>(U9*U12)*100</f>
        <v>125794.54487804876</v>
      </c>
      <c r="V13" t="s">
        <v>94</v>
      </c>
      <c r="W13" s="257">
        <f>((U8-U3)*U12)*100</f>
        <v>126094.34121951219</v>
      </c>
      <c r="X13" s="131">
        <f>V27</f>
        <v>63675.543366810132</v>
      </c>
      <c r="Y13" s="120">
        <f>Y11+Y12</f>
        <v>1.9812228316594931</v>
      </c>
      <c r="Z13" s="120">
        <f>Z11+Z12</f>
        <v>18.753353239693926</v>
      </c>
      <c r="AA13"/>
      <c r="AB13"/>
      <c r="AC13" s="5"/>
      <c r="AD13" s="5"/>
      <c r="AE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ht="14.5" thickBot="1">
      <c r="A14" s="22"/>
      <c r="B14" s="23"/>
      <c r="C14" s="23"/>
      <c r="D14" s="23"/>
      <c r="E14" s="24"/>
      <c r="F14" s="25" t="s">
        <v>6</v>
      </c>
      <c r="G14" s="26"/>
      <c r="H14" s="27"/>
      <c r="I14" s="28" t="s">
        <v>118</v>
      </c>
      <c r="J14" s="26"/>
      <c r="K14" s="11"/>
      <c r="L14" s="14"/>
      <c r="M14" s="11"/>
      <c r="N14" s="12"/>
      <c r="O14" s="4" t="s">
        <v>103</v>
      </c>
      <c r="P14" s="157">
        <v>16.399999999999999</v>
      </c>
      <c r="Q14" s="296">
        <f>Q26+Q25</f>
        <v>150940</v>
      </c>
      <c r="R14"/>
      <c r="S14"/>
      <c r="T14"/>
      <c r="U14"/>
      <c r="V14"/>
      <c r="W14"/>
      <c r="X14"/>
      <c r="Y14"/>
      <c r="Z14"/>
      <c r="AA14"/>
      <c r="AB14"/>
      <c r="AC14" s="5"/>
      <c r="AD14" s="5"/>
      <c r="AE14" s="5"/>
      <c r="AH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ht="14.5" thickBot="1">
      <c r="A15" s="24" t="s">
        <v>104</v>
      </c>
      <c r="B15" s="29"/>
      <c r="C15" s="29"/>
      <c r="D15" s="30"/>
      <c r="E15" s="341"/>
      <c r="F15" s="342"/>
      <c r="G15" s="343"/>
      <c r="H15" s="341"/>
      <c r="I15" s="342"/>
      <c r="J15" s="343"/>
      <c r="K15" s="31"/>
      <c r="L15" s="23" t="s">
        <v>7</v>
      </c>
      <c r="M15" s="31"/>
      <c r="N15" s="32"/>
      <c r="O15" s="118"/>
      <c r="R15" s="132" t="s">
        <v>95</v>
      </c>
      <c r="S15" s="133"/>
      <c r="T15" s="133"/>
      <c r="U15" s="132" t="str">
        <f>AB2</f>
        <v>HOLD 8</v>
      </c>
      <c r="V15" s="133"/>
      <c r="W15"/>
      <c r="X15" s="134" t="str">
        <f>AA2</f>
        <v>HOLD 2</v>
      </c>
      <c r="Y15" s="129">
        <f>(AA3/10000)*X16</f>
        <v>16.150940392922045</v>
      </c>
      <c r="Z15" s="129">
        <f>(AA4/10000)*X16</f>
        <v>-0.62119001511238636</v>
      </c>
      <c r="AA15" s="135"/>
      <c r="AB15"/>
      <c r="AC15" s="5"/>
      <c r="AD15" s="5"/>
      <c r="AE15" s="5"/>
      <c r="AH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ht="14.5" thickBot="1">
      <c r="A16" s="33"/>
      <c r="B16" s="34"/>
      <c r="C16" s="34"/>
      <c r="D16" s="35"/>
      <c r="E16" s="36" t="s">
        <v>5</v>
      </c>
      <c r="F16" s="37" t="s">
        <v>8</v>
      </c>
      <c r="G16" s="38" t="s">
        <v>4</v>
      </c>
      <c r="H16" s="36" t="s">
        <v>5</v>
      </c>
      <c r="I16" s="39" t="s">
        <v>8</v>
      </c>
      <c r="J16" s="38" t="s">
        <v>4</v>
      </c>
      <c r="K16" s="40"/>
      <c r="L16" s="41"/>
      <c r="M16" s="41"/>
      <c r="N16" s="42"/>
      <c r="O16" s="118"/>
      <c r="P16" s="118"/>
      <c r="R16"/>
      <c r="S16"/>
      <c r="T16"/>
      <c r="U16"/>
      <c r="V16"/>
      <c r="W16"/>
      <c r="X16" s="131">
        <f>V26</f>
        <v>62119.001511238632</v>
      </c>
      <c r="Y16" s="124">
        <f>Y13+Y15</f>
        <v>18.132163224581539</v>
      </c>
      <c r="Z16" s="124">
        <f>Z13+Z15</f>
        <v>18.132163224581539</v>
      </c>
      <c r="AA16" s="135"/>
      <c r="AB16"/>
      <c r="AC16" s="5"/>
      <c r="AD16" s="5"/>
      <c r="AE16" s="5"/>
      <c r="AI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ht="14">
      <c r="A17" s="43" t="s">
        <v>9</v>
      </c>
      <c r="B17" s="44"/>
      <c r="C17" s="45"/>
      <c r="D17" s="44" t="s">
        <v>10</v>
      </c>
      <c r="E17" s="274">
        <v>12.954000000000001</v>
      </c>
      <c r="F17" s="274">
        <v>12.99</v>
      </c>
      <c r="G17" s="274">
        <v>13.061999999999999</v>
      </c>
      <c r="H17" s="233">
        <v>5.17</v>
      </c>
      <c r="I17" s="233">
        <v>5.89</v>
      </c>
      <c r="J17" s="233">
        <v>6.66</v>
      </c>
      <c r="K17" s="46"/>
      <c r="L17" s="19"/>
      <c r="M17" s="19"/>
      <c r="N17" s="47"/>
      <c r="O17" s="146" t="s">
        <v>105</v>
      </c>
      <c r="P17" s="4">
        <v>0</v>
      </c>
      <c r="Q17" s="147" t="s">
        <v>113</v>
      </c>
      <c r="R17" s="119"/>
      <c r="S17" s="119"/>
      <c r="T17" s="119" t="s">
        <v>5</v>
      </c>
      <c r="U17" s="119" t="s">
        <v>4</v>
      </c>
      <c r="V17"/>
      <c r="W17"/>
      <c r="X17" s="135"/>
      <c r="Y17" s="135"/>
      <c r="Z17" s="135"/>
      <c r="AA17" s="135"/>
      <c r="AB17"/>
      <c r="AC17" s="5"/>
      <c r="AD17" s="5"/>
      <c r="AE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ht="14">
      <c r="A18" s="43"/>
      <c r="B18" s="44"/>
      <c r="C18" s="45"/>
      <c r="D18" s="44" t="s">
        <v>11</v>
      </c>
      <c r="E18" s="274">
        <v>12.97</v>
      </c>
      <c r="F18" s="274">
        <v>13.01</v>
      </c>
      <c r="G18" s="274">
        <v>13.09</v>
      </c>
      <c r="H18" s="233">
        <v>5.16</v>
      </c>
      <c r="I18" s="233">
        <v>5.88</v>
      </c>
      <c r="J18" s="233">
        <v>6.65</v>
      </c>
      <c r="K18" s="46"/>
      <c r="L18" s="19"/>
      <c r="M18" s="19"/>
      <c r="N18" s="47"/>
      <c r="O18" s="146" t="s">
        <v>106</v>
      </c>
      <c r="P18" s="146">
        <v>420</v>
      </c>
      <c r="Q18" s="147" t="s">
        <v>113</v>
      </c>
      <c r="R18" s="119"/>
      <c r="S18" s="119" t="s">
        <v>76</v>
      </c>
      <c r="T18" s="120">
        <f>U2</f>
        <v>5.165</v>
      </c>
      <c r="U18" s="120">
        <f>U4</f>
        <v>6.6550000000000002</v>
      </c>
      <c r="V18"/>
      <c r="W18"/>
      <c r="X18" s="136" t="s">
        <v>96</v>
      </c>
      <c r="Y18" s="135"/>
      <c r="Z18" s="124">
        <f>((Y16+Z16)/2)+U6</f>
        <v>18.107163224581541</v>
      </c>
      <c r="AA18" s="137" t="s">
        <v>97</v>
      </c>
      <c r="AB18"/>
      <c r="AC18" s="5"/>
      <c r="AD18" s="5"/>
      <c r="AE18" s="5"/>
      <c r="AH18" s="5"/>
      <c r="AI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ht="14.5" thickBot="1">
      <c r="A19" s="43"/>
      <c r="B19" s="44"/>
      <c r="C19" s="45"/>
      <c r="D19" s="44" t="s">
        <v>12</v>
      </c>
      <c r="E19" s="227">
        <f>(E17+E18)/2</f>
        <v>12.962</v>
      </c>
      <c r="F19" s="227">
        <f>SUM((F17+F18)/2)</f>
        <v>13</v>
      </c>
      <c r="G19" s="227">
        <f>SUM((G17+G18)/2)</f>
        <v>13.076000000000001</v>
      </c>
      <c r="H19" s="264">
        <f>SUM((H17+H18)/2)</f>
        <v>5.165</v>
      </c>
      <c r="I19" s="264">
        <f>SUM((I17+I18)/2)</f>
        <v>5.8849999999999998</v>
      </c>
      <c r="J19" s="265">
        <f>SUM((J17+J18)/2)</f>
        <v>6.6550000000000002</v>
      </c>
      <c r="K19" s="46"/>
      <c r="L19" s="23" t="s">
        <v>13</v>
      </c>
      <c r="M19" s="23"/>
      <c r="N19" s="13"/>
      <c r="R19" s="119" t="s">
        <v>98</v>
      </c>
      <c r="S19" s="119"/>
      <c r="T19" s="123">
        <f>(AB3/10000)*U13</f>
        <v>-6.2897272439024388</v>
      </c>
      <c r="U19" s="123">
        <f>(AB4/10000)*U13</f>
        <v>23.900963526829262</v>
      </c>
      <c r="V19"/>
      <c r="W19" s="260">
        <f>(AB3/10000)*W13</f>
        <v>-6.3047170609756096</v>
      </c>
      <c r="X19" s="260">
        <f>(AB4/10000)*W13</f>
        <v>23.957924831707313</v>
      </c>
      <c r="Y19"/>
      <c r="Z19"/>
      <c r="AA19"/>
      <c r="AB19"/>
      <c r="AC19" s="5"/>
      <c r="AD19" s="5"/>
      <c r="AE19" s="5"/>
      <c r="AH19" s="5"/>
      <c r="AI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ht="14.5" thickBot="1">
      <c r="A20" s="43" t="s">
        <v>14</v>
      </c>
      <c r="B20" s="44"/>
      <c r="C20" s="45"/>
      <c r="D20" s="44"/>
      <c r="E20" s="48" t="s">
        <v>15</v>
      </c>
      <c r="F20" s="92">
        <v>1.0189999999999999</v>
      </c>
      <c r="G20" s="49"/>
      <c r="H20" s="48" t="s">
        <v>15</v>
      </c>
      <c r="I20" s="96">
        <v>1.0149999999999999</v>
      </c>
      <c r="J20" s="49"/>
      <c r="K20" s="46"/>
      <c r="N20" s="47"/>
      <c r="O20" s="204" t="s">
        <v>107</v>
      </c>
      <c r="P20" s="271">
        <f>(P18*((1025-I20*1000)/25)/1000)+P13</f>
        <v>18.109000000000002</v>
      </c>
      <c r="Q20" s="4" t="s">
        <v>119</v>
      </c>
      <c r="R20" s="119"/>
      <c r="S20" s="119" t="s">
        <v>76</v>
      </c>
      <c r="T20" s="123">
        <f>T19+T18</f>
        <v>-1.1247272439024387</v>
      </c>
      <c r="U20" s="123">
        <f>U19+U18</f>
        <v>30.555963526829263</v>
      </c>
      <c r="V20"/>
      <c r="W20" s="260">
        <f>W19+T18</f>
        <v>-1.1397170609756095</v>
      </c>
      <c r="X20" s="260">
        <f>X19+U18</f>
        <v>30.612924831707314</v>
      </c>
      <c r="Y20"/>
      <c r="Z20"/>
      <c r="AA20"/>
      <c r="AB20"/>
      <c r="AC20" s="5"/>
      <c r="AD20" s="5"/>
      <c r="AE20" s="5"/>
      <c r="AI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ht="14">
      <c r="A21" s="43" t="s">
        <v>17</v>
      </c>
      <c r="B21" s="44"/>
      <c r="C21" s="45"/>
      <c r="D21" s="44"/>
      <c r="E21" s="51"/>
      <c r="F21" s="52">
        <f>SUM(G19-E19)</f>
        <v>0.11400000000000077</v>
      </c>
      <c r="G21" s="53"/>
      <c r="H21" s="51"/>
      <c r="I21" s="52">
        <f>-SUM(H19-J19)</f>
        <v>1.4900000000000002</v>
      </c>
      <c r="J21" s="53"/>
      <c r="K21" s="54"/>
      <c r="L21" s="50" t="s">
        <v>18</v>
      </c>
      <c r="M21" s="276">
        <v>578.85</v>
      </c>
      <c r="O21" s="146" t="s">
        <v>107</v>
      </c>
      <c r="P21" s="272">
        <f>((P18*((1025-I20*1000)/25))/1000)+P12</f>
        <v>18.490000000000002</v>
      </c>
      <c r="Q21" s="189" t="s">
        <v>120</v>
      </c>
      <c r="R21"/>
      <c r="S21"/>
      <c r="T21"/>
      <c r="U21"/>
      <c r="V21"/>
      <c r="W21"/>
      <c r="X21"/>
      <c r="Y21"/>
      <c r="Z21"/>
      <c r="AA21"/>
      <c r="AB21"/>
      <c r="AC21" s="5"/>
      <c r="AD21" s="5"/>
      <c r="AE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ht="14">
      <c r="A22" s="43" t="s">
        <v>19</v>
      </c>
      <c r="B22" s="44"/>
      <c r="C22" s="45"/>
      <c r="D22" s="44"/>
      <c r="E22" s="51" t="s">
        <v>15</v>
      </c>
      <c r="F22" s="190">
        <f>F39-ABS(F25)-F27</f>
        <v>200.35999999999999</v>
      </c>
      <c r="G22" s="53"/>
      <c r="H22" s="51" t="s">
        <v>15</v>
      </c>
      <c r="I22" s="180">
        <f>I39-ABS(I25)-I27</f>
        <v>200.35999999999999</v>
      </c>
      <c r="J22" s="53"/>
      <c r="L22" s="43" t="s">
        <v>20</v>
      </c>
      <c r="M22" s="263">
        <v>98.17</v>
      </c>
      <c r="N22" s="47"/>
      <c r="O22" s="146" t="s">
        <v>2</v>
      </c>
      <c r="P22" s="298">
        <f>R47</f>
        <v>121.1</v>
      </c>
      <c r="Q22" s="188"/>
      <c r="R22"/>
      <c r="S22" s="119"/>
      <c r="T22" s="136" t="s">
        <v>84</v>
      </c>
      <c r="U22" s="123">
        <f>U20-T20</f>
        <v>31.680690770731701</v>
      </c>
      <c r="V22"/>
      <c r="W22"/>
      <c r="X22" s="260">
        <f>X20-W20</f>
        <v>31.752641892682924</v>
      </c>
      <c r="Y22"/>
      <c r="Z22"/>
      <c r="AA22"/>
      <c r="AB22"/>
      <c r="AC22" s="5"/>
      <c r="AD22" s="5"/>
      <c r="AE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ht="14">
      <c r="A23" s="43" t="s">
        <v>21</v>
      </c>
      <c r="B23" s="55"/>
      <c r="C23" s="56"/>
      <c r="D23" s="55"/>
      <c r="E23" s="51"/>
      <c r="F23" s="57"/>
      <c r="G23" s="53"/>
      <c r="H23" s="51"/>
      <c r="I23" s="57"/>
      <c r="J23" s="53"/>
      <c r="K23" s="46"/>
      <c r="L23" s="43" t="s">
        <v>22</v>
      </c>
      <c r="M23" s="229">
        <v>22</v>
      </c>
      <c r="N23" s="47"/>
      <c r="O23" s="146" t="s">
        <v>2</v>
      </c>
      <c r="P23" s="205">
        <v>122.4</v>
      </c>
      <c r="Q23" s="202" t="s">
        <v>117</v>
      </c>
      <c r="R23" s="288"/>
      <c r="S23" s="119" t="s">
        <v>99</v>
      </c>
      <c r="T23" s="119"/>
      <c r="U23" s="138">
        <v>0</v>
      </c>
      <c r="V23"/>
      <c r="W23"/>
      <c r="X23"/>
      <c r="Y23"/>
      <c r="Z23"/>
      <c r="AA23"/>
      <c r="AB23"/>
      <c r="AC23" s="5"/>
      <c r="AD23" s="5"/>
      <c r="AE23" s="5"/>
      <c r="AH23" s="5"/>
      <c r="AI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ht="17.25" customHeight="1">
      <c r="A24" s="105" t="s">
        <v>23</v>
      </c>
      <c r="B24" s="106"/>
      <c r="C24" s="107"/>
      <c r="D24" s="106"/>
      <c r="E24" s="108"/>
      <c r="F24" s="109"/>
      <c r="G24" s="110"/>
      <c r="H24" s="108"/>
      <c r="I24" s="109"/>
      <c r="J24" s="110"/>
      <c r="K24" s="111"/>
      <c r="L24" s="43" t="s">
        <v>24</v>
      </c>
      <c r="M24" s="263">
        <v>173</v>
      </c>
      <c r="N24" s="58"/>
      <c r="O24" s="293"/>
      <c r="P24" s="146"/>
      <c r="Q24" s="187"/>
      <c r="R24"/>
      <c r="S24" s="119" t="s">
        <v>100</v>
      </c>
      <c r="T24" s="119"/>
      <c r="U24" s="123">
        <f>U22-U23</f>
        <v>31.680690770731701</v>
      </c>
      <c r="V24"/>
      <c r="W24"/>
      <c r="X24" s="260">
        <f>X22-U23</f>
        <v>31.752641892682924</v>
      </c>
      <c r="Y24" s="329" t="s">
        <v>132</v>
      </c>
      <c r="Z24" s="329"/>
      <c r="AA24" s="329"/>
      <c r="AB24" s="329"/>
      <c r="AC24" s="5"/>
      <c r="AD24" s="5"/>
      <c r="AE24" s="5"/>
      <c r="AH24" s="5"/>
      <c r="AI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ht="14">
      <c r="A25" s="59"/>
      <c r="B25" s="55"/>
      <c r="C25" s="56"/>
      <c r="D25" s="44" t="s">
        <v>25</v>
      </c>
      <c r="E25" s="51" t="s">
        <v>15</v>
      </c>
      <c r="F25" s="275">
        <v>-3.04</v>
      </c>
      <c r="G25" s="53"/>
      <c r="H25" s="51" t="s">
        <v>15</v>
      </c>
      <c r="I25" s="142">
        <f>F25</f>
        <v>-3.04</v>
      </c>
      <c r="J25" s="53"/>
      <c r="K25" s="46"/>
      <c r="L25" s="105" t="s">
        <v>16</v>
      </c>
      <c r="M25" s="277">
        <v>932</v>
      </c>
      <c r="N25" s="292"/>
      <c r="O25" s="293"/>
      <c r="P25" s="234" t="s">
        <v>121</v>
      </c>
      <c r="Q25" s="235">
        <v>0</v>
      </c>
      <c r="R25" s="299"/>
      <c r="S25"/>
      <c r="T25"/>
      <c r="U25"/>
      <c r="V25" s="262" t="s">
        <v>142</v>
      </c>
      <c r="W25"/>
      <c r="X25" s="262" t="s">
        <v>141</v>
      </c>
      <c r="Y25" s="215" t="str">
        <f>O2</f>
        <v>HOLD 2</v>
      </c>
      <c r="Z25" s="208" t="s">
        <v>126</v>
      </c>
      <c r="AA25" s="208" t="s">
        <v>130</v>
      </c>
      <c r="AB25" s="208" t="s">
        <v>127</v>
      </c>
      <c r="AC25" s="5"/>
      <c r="AD25" s="5"/>
      <c r="AE25" s="5"/>
      <c r="AI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ht="14.5" thickBot="1">
      <c r="A26" s="59"/>
      <c r="B26" s="55"/>
      <c r="C26" s="56"/>
      <c r="D26" s="44" t="s">
        <v>26</v>
      </c>
      <c r="E26" s="51" t="s">
        <v>15</v>
      </c>
      <c r="F26" s="275">
        <v>0</v>
      </c>
      <c r="G26" s="53"/>
      <c r="H26" s="51" t="s">
        <v>15</v>
      </c>
      <c r="I26" s="142">
        <v>0</v>
      </c>
      <c r="J26" s="53"/>
      <c r="K26" s="46"/>
      <c r="L26" s="203" t="s">
        <v>60</v>
      </c>
      <c r="M26" s="278">
        <v>165</v>
      </c>
      <c r="N26" s="47"/>
      <c r="O26" s="293"/>
      <c r="P26" s="234" t="s">
        <v>154</v>
      </c>
      <c r="Q26" s="235">
        <v>150940</v>
      </c>
      <c r="R26" s="299"/>
      <c r="S26" s="119" t="s">
        <v>101</v>
      </c>
      <c r="T26" s="119"/>
      <c r="U26" s="139" t="str">
        <f>AA2</f>
        <v>HOLD 2</v>
      </c>
      <c r="V26" s="130">
        <f>(U24*100)/AB6</f>
        <v>62119.001511238632</v>
      </c>
      <c r="W26" s="119" t="s">
        <v>94</v>
      </c>
      <c r="X26" s="261">
        <f>(X24*100)/AB6</f>
        <v>62260.082142515537</v>
      </c>
      <c r="Y26" s="213" t="s">
        <v>122</v>
      </c>
      <c r="Z26" s="209">
        <f>H19</f>
        <v>5.165</v>
      </c>
      <c r="AA26" s="209">
        <f>I19</f>
        <v>5.8849999999999998</v>
      </c>
      <c r="AB26" s="209">
        <f>J19</f>
        <v>6.6550000000000002</v>
      </c>
      <c r="AC26" s="5"/>
      <c r="AD26" s="5"/>
      <c r="AE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ht="14.5" thickBot="1">
      <c r="A27" s="59"/>
      <c r="B27" s="55"/>
      <c r="C27" s="56"/>
      <c r="D27" s="44" t="s">
        <v>3</v>
      </c>
      <c r="E27" s="51" t="s">
        <v>15</v>
      </c>
      <c r="F27" s="275">
        <v>12.8</v>
      </c>
      <c r="G27" s="53"/>
      <c r="H27" s="51" t="s">
        <v>15</v>
      </c>
      <c r="I27" s="142">
        <v>12.8</v>
      </c>
      <c r="J27" s="53"/>
      <c r="K27" s="46"/>
      <c r="L27" s="255" t="s">
        <v>151</v>
      </c>
      <c r="M27" s="269">
        <v>0</v>
      </c>
      <c r="N27" s="47"/>
      <c r="P27" s="178"/>
      <c r="Q27" s="178"/>
      <c r="R27" s="178"/>
      <c r="S27" s="119" t="s">
        <v>101</v>
      </c>
      <c r="T27" s="119"/>
      <c r="U27" s="139" t="str">
        <f>AB2</f>
        <v>HOLD 8</v>
      </c>
      <c r="V27" s="130">
        <f>U13-V26</f>
        <v>63675.543366810132</v>
      </c>
      <c r="W27" s="119" t="s">
        <v>94</v>
      </c>
      <c r="X27" s="261">
        <f>(W13-X26)</f>
        <v>63834.259076996655</v>
      </c>
      <c r="Y27" s="206"/>
      <c r="Z27" s="210" t="s">
        <v>123</v>
      </c>
      <c r="AA27" s="210" t="s">
        <v>124</v>
      </c>
      <c r="AB27" s="210" t="s">
        <v>125</v>
      </c>
      <c r="AC27" s="5"/>
      <c r="AD27" s="5"/>
      <c r="AE27" s="5"/>
      <c r="AH27" s="5"/>
      <c r="AI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ht="15" thickBot="1">
      <c r="A28" s="43" t="s">
        <v>28</v>
      </c>
      <c r="B28" s="55"/>
      <c r="C28" s="56"/>
      <c r="D28" s="55"/>
      <c r="E28" s="51"/>
      <c r="F28" s="52"/>
      <c r="G28" s="53"/>
      <c r="H28" s="51"/>
      <c r="I28" s="57"/>
      <c r="J28" s="53"/>
      <c r="K28" s="46"/>
      <c r="L28" s="254" t="s">
        <v>68</v>
      </c>
      <c r="M28" s="90">
        <f>SUM(M21:M27)</f>
        <v>1969.02</v>
      </c>
      <c r="N28" s="47"/>
      <c r="O28" s="112" t="s">
        <v>6</v>
      </c>
      <c r="P28" s="200">
        <f>F39/2</f>
        <v>108.1</v>
      </c>
      <c r="Q28" s="290">
        <f>P28-R28</f>
        <v>-44.054000000000002</v>
      </c>
      <c r="R28" s="113">
        <v>152.154</v>
      </c>
      <c r="S28" s="113"/>
      <c r="T28" s="113"/>
      <c r="U28" s="113"/>
      <c r="V28" s="113"/>
      <c r="W28" s="5"/>
      <c r="X28" s="5"/>
      <c r="Y28" s="242">
        <v>0</v>
      </c>
      <c r="Z28" s="228">
        <f>(((Q2/100)*Y28)/100)+Z26</f>
        <v>5.165</v>
      </c>
      <c r="AA28" s="211">
        <f>((Y28/U11)/100)+AA26</f>
        <v>5.8849999999999998</v>
      </c>
      <c r="AB28" s="211">
        <f>(((Q3/100)*Y28)/100)+AB26</f>
        <v>6.6550000000000002</v>
      </c>
      <c r="AC28" s="5"/>
      <c r="AD28" s="216" t="str">
        <f>O6</f>
        <v>HOLD 5</v>
      </c>
      <c r="AE28" s="241">
        <f>Z33</f>
        <v>5.165</v>
      </c>
      <c r="AF28" s="241">
        <f>AA33</f>
        <v>5.8849999999999998</v>
      </c>
      <c r="AG28" s="241">
        <f>AB33</f>
        <v>6.6550000000000002</v>
      </c>
      <c r="AH28" s="5"/>
      <c r="AI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ht="14.5">
      <c r="A29" s="59"/>
      <c r="B29" s="55"/>
      <c r="C29" s="56"/>
      <c r="D29" s="44" t="s">
        <v>25</v>
      </c>
      <c r="E29" s="51"/>
      <c r="F29" s="270">
        <f>SUM(F21/F22*F25)</f>
        <v>-1.7296865641844795E-3</v>
      </c>
      <c r="G29" s="60"/>
      <c r="H29" s="51"/>
      <c r="I29" s="52">
        <f>SUM(I21/I22*I25)</f>
        <v>-2.2607306847674192E-2</v>
      </c>
      <c r="J29" s="60"/>
      <c r="K29" s="61" t="s">
        <v>29</v>
      </c>
      <c r="L29" s="23"/>
      <c r="M29" s="23"/>
      <c r="N29" s="62">
        <f>F60</f>
        <v>78922.891511075955</v>
      </c>
      <c r="O29" s="114" t="s">
        <v>76</v>
      </c>
      <c r="P29" s="114" t="s">
        <v>77</v>
      </c>
      <c r="Q29" s="114" t="s">
        <v>1</v>
      </c>
      <c r="R29" s="114" t="s">
        <v>2</v>
      </c>
      <c r="S29" s="114" t="s">
        <v>76</v>
      </c>
      <c r="T29" s="115" t="s">
        <v>78</v>
      </c>
      <c r="U29" s="114" t="s">
        <v>76</v>
      </c>
      <c r="V29" s="115" t="s">
        <v>79</v>
      </c>
      <c r="W29" s="5"/>
      <c r="X29" s="5"/>
      <c r="Y29" s="5"/>
      <c r="Z29" s="5"/>
      <c r="AA29" s="5"/>
      <c r="AB29" s="5"/>
      <c r="AC29" s="5"/>
      <c r="AD29" s="5"/>
      <c r="AE29" s="218" t="s">
        <v>128</v>
      </c>
      <c r="AF29" s="219" t="s">
        <v>129</v>
      </c>
      <c r="AG29" s="219" t="s">
        <v>131</v>
      </c>
      <c r="AH29" s="240" t="s">
        <v>139</v>
      </c>
      <c r="AI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ht="14.5">
      <c r="A30" s="59"/>
      <c r="B30" s="55"/>
      <c r="C30" s="56"/>
      <c r="D30" s="44" t="s">
        <v>26</v>
      </c>
      <c r="E30" s="51"/>
      <c r="F30" s="52">
        <f>SUM(F21/F22*F26)</f>
        <v>0</v>
      </c>
      <c r="G30" s="60" t="s">
        <v>152</v>
      </c>
      <c r="H30" s="51"/>
      <c r="I30" s="52">
        <f>SUM(I21/I22*I26)</f>
        <v>0</v>
      </c>
      <c r="J30" s="60"/>
      <c r="K30" s="61" t="s">
        <v>30</v>
      </c>
      <c r="L30" s="23"/>
      <c r="M30" s="23"/>
      <c r="N30" s="62">
        <f>M28</f>
        <v>1969.02</v>
      </c>
      <c r="O30" s="289">
        <v>13</v>
      </c>
      <c r="P30" s="155">
        <v>79356.800000000003</v>
      </c>
      <c r="Q30" s="156">
        <v>-1.456</v>
      </c>
      <c r="R30" s="156">
        <v>66.5</v>
      </c>
      <c r="S30" s="154">
        <f>O30-0.5</f>
        <v>12.5</v>
      </c>
      <c r="T30" s="155">
        <v>1021.4</v>
      </c>
      <c r="U30" s="154">
        <f>O30 +0.5</f>
        <v>13.5</v>
      </c>
      <c r="V30" s="155">
        <v>1042.4000000000001</v>
      </c>
      <c r="W30" s="5"/>
      <c r="X30" s="5"/>
      <c r="Y30" s="216" t="str">
        <f>O4</f>
        <v>HOLD 8</v>
      </c>
      <c r="Z30" s="212">
        <f>Z28</f>
        <v>5.165</v>
      </c>
      <c r="AA30" s="212">
        <f>AA28</f>
        <v>5.8849999999999998</v>
      </c>
      <c r="AB30" s="212">
        <f>AB28</f>
        <v>6.6550000000000002</v>
      </c>
      <c r="AC30" s="5"/>
      <c r="AD30" s="242">
        <v>0</v>
      </c>
      <c r="AE30" s="217">
        <f>(((Q6/100)*AD30)/100)+Z33</f>
        <v>5.165</v>
      </c>
      <c r="AF30" s="217">
        <f>((AD30/U11)/100)+AA33</f>
        <v>5.8849999999999998</v>
      </c>
      <c r="AG30" s="217">
        <f>(((Q7/100)*AD30)/100)+AB33</f>
        <v>6.6550000000000002</v>
      </c>
      <c r="AH30" s="217">
        <f>AG30-AE30</f>
        <v>1.4900000000000002</v>
      </c>
      <c r="AL30" s="5"/>
      <c r="AM30" s="5"/>
      <c r="AN30" s="5"/>
      <c r="AO30" s="5"/>
      <c r="AP30" s="5"/>
      <c r="AQ30" s="5"/>
      <c r="AR30" s="5"/>
      <c r="AS30" s="5"/>
      <c r="AT30" s="5"/>
    </row>
    <row r="31" spans="1:46" ht="14.5">
      <c r="A31" s="59"/>
      <c r="B31" s="55"/>
      <c r="C31" s="56"/>
      <c r="D31" s="44" t="s">
        <v>3</v>
      </c>
      <c r="E31" s="51"/>
      <c r="F31" s="52">
        <f>SUM(F21/F22*F27)</f>
        <v>7.2828907965662298E-3</v>
      </c>
      <c r="G31" s="60"/>
      <c r="H31" s="51"/>
      <c r="I31" s="52">
        <f>SUM(I21/I22*I27)</f>
        <v>9.5188660411259757E-2</v>
      </c>
      <c r="J31" s="60"/>
      <c r="K31" s="61" t="s">
        <v>31</v>
      </c>
      <c r="L31" s="11"/>
      <c r="M31" s="11"/>
      <c r="N31" s="62">
        <f>SUM(N29-N30)</f>
        <v>76953.871511075951</v>
      </c>
      <c r="O31" s="289">
        <v>13.05</v>
      </c>
      <c r="P31" s="155">
        <v>79689.7</v>
      </c>
      <c r="Q31" s="156">
        <v>-1.484</v>
      </c>
      <c r="R31" s="156">
        <v>66.5</v>
      </c>
      <c r="S31" s="154">
        <f>O31-0.5</f>
        <v>12.55</v>
      </c>
      <c r="T31" s="155">
        <v>1030.5999999999999</v>
      </c>
      <c r="U31" s="154">
        <f>O31 +0.5</f>
        <v>13.55</v>
      </c>
      <c r="V31" s="155">
        <v>1049.9000000000001</v>
      </c>
      <c r="W31" s="5"/>
      <c r="X31" s="5"/>
      <c r="Y31" s="214" t="s">
        <v>122</v>
      </c>
      <c r="Z31" s="207"/>
      <c r="AA31" s="207"/>
      <c r="AB31" s="207"/>
      <c r="AC31" s="5"/>
      <c r="AD31" s="5"/>
      <c r="AE31" s="5"/>
      <c r="AH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ht="15" thickBot="1">
      <c r="A32" s="43" t="s">
        <v>32</v>
      </c>
      <c r="B32" s="44"/>
      <c r="C32" s="45"/>
      <c r="D32" s="44"/>
      <c r="E32" s="51"/>
      <c r="F32" s="57"/>
      <c r="G32" s="53"/>
      <c r="H32" s="51"/>
      <c r="I32" s="57"/>
      <c r="J32" s="53"/>
      <c r="K32" s="61" t="s">
        <v>61</v>
      </c>
      <c r="L32" s="11"/>
      <c r="M32" s="11"/>
      <c r="N32" s="192">
        <v>11682.073</v>
      </c>
      <c r="O32" s="238">
        <f>F37</f>
        <v>13.005444150529048</v>
      </c>
      <c r="P32" s="117">
        <f>P30+((P31-P30)/(O31-O30)*(O32-O30))</f>
        <v>79393.047154222397</v>
      </c>
      <c r="Q32" s="116">
        <f>(((Q30+((Q31-Q30)/(O31-O30)*(O32-O30)))))</f>
        <v>-1.4590487242962666</v>
      </c>
      <c r="R32" s="116">
        <f>R30+((R31-R30)/(O31-O30)*(O32-O30))</f>
        <v>66.5</v>
      </c>
      <c r="S32" s="116">
        <f>O32-0.5</f>
        <v>12.505444150529048</v>
      </c>
      <c r="T32" s="117">
        <f>T30+((T31-T30)/(S31-S30)*(S32-S30))</f>
        <v>1022.4017236973448</v>
      </c>
      <c r="U32" s="116">
        <f>O32+0.5</f>
        <v>13.505444150529048</v>
      </c>
      <c r="V32" s="117">
        <f>V30+((V31-V30)/(U31-U30)*(U32-U30))</f>
        <v>1043.2166225793571</v>
      </c>
      <c r="W32" s="5"/>
      <c r="X32" s="5"/>
      <c r="Y32" s="5"/>
      <c r="Z32" s="251" t="s">
        <v>123</v>
      </c>
      <c r="AA32" s="252" t="s">
        <v>124</v>
      </c>
      <c r="AB32" s="253" t="s">
        <v>125</v>
      </c>
      <c r="AC32" s="249"/>
      <c r="AD32" s="5"/>
      <c r="AE32" s="237">
        <f>Y35+AD30</f>
        <v>0</v>
      </c>
      <c r="AH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ht="15" thickTop="1" thickBot="1">
      <c r="A33" s="59"/>
      <c r="B33" s="55"/>
      <c r="C33" s="56"/>
      <c r="D33" s="44" t="s">
        <v>25</v>
      </c>
      <c r="E33" s="51"/>
      <c r="F33" s="52">
        <f>SUM(E19+F29)</f>
        <v>12.960270313435815</v>
      </c>
      <c r="G33" s="53"/>
      <c r="H33" s="51"/>
      <c r="I33" s="52">
        <f>SUM(H19+I29)</f>
        <v>5.1423926931523258</v>
      </c>
      <c r="J33" s="53"/>
      <c r="K33" s="54"/>
      <c r="L33" s="63"/>
      <c r="M33" s="64" t="s">
        <v>74</v>
      </c>
      <c r="N33" s="65">
        <f>N31-N32</f>
        <v>65271.798511075947</v>
      </c>
      <c r="O33" s="113"/>
      <c r="P33" s="113"/>
      <c r="Q33" s="290">
        <f>P28-R33</f>
        <v>-43.832999999999998</v>
      </c>
      <c r="R33" s="113">
        <v>151.93299999999999</v>
      </c>
      <c r="S33" s="113"/>
      <c r="T33" s="113"/>
      <c r="U33" s="113"/>
      <c r="V33" s="113"/>
      <c r="W33" s="5"/>
      <c r="X33" s="5"/>
      <c r="Y33" s="250">
        <v>0</v>
      </c>
      <c r="Z33" s="267">
        <f>(((Q4/100)*Y33)/100)+Z30</f>
        <v>5.165</v>
      </c>
      <c r="AA33" s="267">
        <f>((Y33/U11)/100)+AA30</f>
        <v>5.8849999999999998</v>
      </c>
      <c r="AB33" s="267">
        <f>(((Q5/100)*Y33)/100)+AB30</f>
        <v>6.6550000000000002</v>
      </c>
      <c r="AC33" s="226">
        <f>AG30-AE30</f>
        <v>1.4900000000000002</v>
      </c>
      <c r="AD33" s="5"/>
      <c r="AE33" s="243"/>
      <c r="AL33" s="5"/>
      <c r="AM33" s="5"/>
      <c r="AN33" s="5"/>
      <c r="AO33" s="5"/>
      <c r="AP33" s="5"/>
      <c r="AQ33" s="5"/>
      <c r="AR33" s="5"/>
      <c r="AS33" s="5"/>
      <c r="AT33" s="5"/>
    </row>
    <row r="34" spans="1:46" ht="15.5" thickTop="1" thickBot="1">
      <c r="A34" s="59"/>
      <c r="B34" s="55"/>
      <c r="C34" s="56"/>
      <c r="D34" s="44" t="s">
        <v>26</v>
      </c>
      <c r="E34" s="51"/>
      <c r="F34" s="52">
        <f>SUM(F19+F30)</f>
        <v>13</v>
      </c>
      <c r="G34" s="53"/>
      <c r="H34" s="51"/>
      <c r="I34" s="52">
        <f>SUM(I19+I30)</f>
        <v>5.8849999999999998</v>
      </c>
      <c r="J34" s="53"/>
      <c r="K34" s="66"/>
      <c r="L34" s="23" t="s">
        <v>33</v>
      </c>
      <c r="M34" s="23"/>
      <c r="N34" s="13"/>
      <c r="O34" s="114" t="s">
        <v>114</v>
      </c>
      <c r="P34" s="200">
        <f>F39/2</f>
        <v>108.1</v>
      </c>
      <c r="Q34" s="287">
        <f>P34-R34</f>
        <v>-34.068000000000012</v>
      </c>
      <c r="R34" s="287">
        <v>142.16800000000001</v>
      </c>
      <c r="S34" s="290">
        <f>P34-T34</f>
        <v>-13.283000000000001</v>
      </c>
      <c r="T34" s="113">
        <v>121.383</v>
      </c>
      <c r="U34" s="113"/>
      <c r="V34" s="113"/>
      <c r="W34" s="5"/>
      <c r="X34" s="5"/>
      <c r="Y34" s="5"/>
      <c r="Z34" s="217">
        <f>AE30</f>
        <v>5.165</v>
      </c>
      <c r="AA34" s="217">
        <f>AF30</f>
        <v>5.8849999999999998</v>
      </c>
      <c r="AB34" s="217">
        <f>AG30</f>
        <v>6.6550000000000002</v>
      </c>
      <c r="AC34" s="5"/>
      <c r="AD34" s="5"/>
      <c r="AE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ht="14.5">
      <c r="A35" s="59"/>
      <c r="B35" s="55"/>
      <c r="C35" s="56"/>
      <c r="D35" s="44" t="s">
        <v>3</v>
      </c>
      <c r="E35" s="51"/>
      <c r="F35" s="52">
        <f>SUM(G19+F31)</f>
        <v>13.083282890796566</v>
      </c>
      <c r="G35" s="53"/>
      <c r="H35" s="51"/>
      <c r="I35" s="52">
        <f>SUM(J19+I31)</f>
        <v>6.7501886604112604</v>
      </c>
      <c r="J35" s="53"/>
      <c r="K35" s="66"/>
      <c r="L35" s="50" t="s">
        <v>18</v>
      </c>
      <c r="M35" s="230">
        <v>566.64</v>
      </c>
      <c r="N35" s="13"/>
      <c r="O35" s="114" t="s">
        <v>76</v>
      </c>
      <c r="P35" s="114" t="s">
        <v>77</v>
      </c>
      <c r="Q35" s="114" t="s">
        <v>1</v>
      </c>
      <c r="R35" s="114" t="s">
        <v>2</v>
      </c>
      <c r="S35" s="114" t="s">
        <v>76</v>
      </c>
      <c r="T35" s="115" t="s">
        <v>78</v>
      </c>
      <c r="U35" s="114" t="s">
        <v>76</v>
      </c>
      <c r="V35" s="115" t="s">
        <v>79</v>
      </c>
      <c r="W35" s="5"/>
      <c r="X35" s="5"/>
      <c r="Y35" s="237">
        <f>Y28+Y33</f>
        <v>0</v>
      </c>
      <c r="Z35" s="5"/>
      <c r="AA35" s="294" t="s">
        <v>137</v>
      </c>
      <c r="AB35" s="295">
        <f>Y35+AD30+N48</f>
        <v>866</v>
      </c>
      <c r="AC35" s="5"/>
      <c r="AD35" s="5"/>
      <c r="AE35" s="5"/>
      <c r="AH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ht="14.5">
      <c r="A36" s="43" t="s">
        <v>34</v>
      </c>
      <c r="B36" s="44"/>
      <c r="C36" s="45"/>
      <c r="D36" s="44"/>
      <c r="E36" s="51"/>
      <c r="F36" s="52">
        <f>-SUM(F33-F35)</f>
        <v>0.12301257736075044</v>
      </c>
      <c r="G36" s="53"/>
      <c r="H36" s="51"/>
      <c r="I36" s="52">
        <f>-SUM(I33-I35)</f>
        <v>1.6077959672589346</v>
      </c>
      <c r="J36" s="53"/>
      <c r="K36" s="66"/>
      <c r="L36" s="43" t="s">
        <v>20</v>
      </c>
      <c r="M36" s="231">
        <v>98.06</v>
      </c>
      <c r="N36" s="13"/>
      <c r="O36" s="154">
        <v>5.85</v>
      </c>
      <c r="P36" s="155">
        <v>33777.699999999997</v>
      </c>
      <c r="Q36" s="156">
        <v>8.77</v>
      </c>
      <c r="R36" s="156">
        <v>60.8</v>
      </c>
      <c r="S36" s="154">
        <f>+O36-0.5</f>
        <v>5.35</v>
      </c>
      <c r="T36" s="156">
        <v>789.7</v>
      </c>
      <c r="U36" s="154">
        <f>O36+0.5</f>
        <v>6.35</v>
      </c>
      <c r="V36" s="156">
        <v>813.9</v>
      </c>
      <c r="W36" s="5"/>
      <c r="X36" s="5"/>
      <c r="Y36" s="5"/>
      <c r="Z36" s="5"/>
      <c r="AA36" s="226" t="s">
        <v>138</v>
      </c>
      <c r="AB36" s="237">
        <f>P49-AB35</f>
        <v>150074</v>
      </c>
      <c r="AC36" s="5"/>
      <c r="AD36" s="5"/>
      <c r="AE36" s="5"/>
      <c r="AH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ht="15" thickBot="1">
      <c r="A37" s="43" t="s">
        <v>35</v>
      </c>
      <c r="B37" s="44"/>
      <c r="C37" s="45"/>
      <c r="D37" s="44"/>
      <c r="E37" s="51"/>
      <c r="F37" s="150">
        <f>SUM(F34*6+F33+F35)/8-P17/1000</f>
        <v>13.005444150529048</v>
      </c>
      <c r="G37" s="67"/>
      <c r="H37" s="51"/>
      <c r="I37" s="184">
        <f>SUM(I34*6+I33+I35)/8-P17/1000</f>
        <v>5.9003226691954485</v>
      </c>
      <c r="J37" s="67"/>
      <c r="K37" s="66"/>
      <c r="L37" s="43" t="s">
        <v>22</v>
      </c>
      <c r="M37" s="231">
        <v>22</v>
      </c>
      <c r="O37" s="154">
        <v>5.95</v>
      </c>
      <c r="P37" s="155">
        <v>34387.800000000003</v>
      </c>
      <c r="Q37" s="156">
        <v>8.6890000000000001</v>
      </c>
      <c r="R37" s="156">
        <v>60.9</v>
      </c>
      <c r="S37" s="154">
        <f>+O37-0.5</f>
        <v>5.45</v>
      </c>
      <c r="T37" s="156">
        <v>792</v>
      </c>
      <c r="U37" s="154">
        <f>O37+0.5</f>
        <v>6.45</v>
      </c>
      <c r="V37" s="156">
        <v>816.4</v>
      </c>
      <c r="W37" s="5"/>
      <c r="X37" s="5"/>
      <c r="Y37" s="220" t="s">
        <v>133</v>
      </c>
      <c r="Z37" s="220" t="s">
        <v>136</v>
      </c>
      <c r="AA37" s="221"/>
      <c r="AB37" s="5"/>
      <c r="AC37" s="5"/>
      <c r="AD37" s="5"/>
      <c r="AE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ht="15" thickBot="1">
      <c r="A38" s="43" t="s">
        <v>36</v>
      </c>
      <c r="B38" s="44"/>
      <c r="C38" s="45"/>
      <c r="D38" s="44"/>
      <c r="E38" s="68" t="s">
        <v>15</v>
      </c>
      <c r="F38" s="191">
        <f>P32</f>
        <v>79393.047154222397</v>
      </c>
      <c r="G38" s="53"/>
      <c r="H38" s="68" t="s">
        <v>15</v>
      </c>
      <c r="I38" s="93">
        <f>SUM(P38)</f>
        <v>34084.71860476143</v>
      </c>
      <c r="J38" s="53"/>
      <c r="K38" s="69"/>
      <c r="L38" s="43" t="s">
        <v>24</v>
      </c>
      <c r="M38" s="231">
        <v>173</v>
      </c>
      <c r="O38" s="196">
        <f>I37</f>
        <v>5.9003226691954485</v>
      </c>
      <c r="P38" s="117">
        <f>P36+((P37-P36)/(O37-O36)*(O38-O36))</f>
        <v>34084.71860476143</v>
      </c>
      <c r="Q38" s="116">
        <f>(((Q36+((Q37-Q36)/(O37-O36)*(O38-O36)))))</f>
        <v>8.7292386379516866</v>
      </c>
      <c r="R38" s="116">
        <f>R36+((R37-R36)/(O37-O36)*(O38-O36))</f>
        <v>60.85032266919545</v>
      </c>
      <c r="S38" s="116">
        <f>O38-0.5</f>
        <v>5.4003226691954485</v>
      </c>
      <c r="T38" s="117">
        <f>T36+((T37-T36)/(S37-S36)*(S38-S36))</f>
        <v>790.85742139149534</v>
      </c>
      <c r="U38" s="116">
        <f>O38+0.5</f>
        <v>6.4003226691954485</v>
      </c>
      <c r="V38" s="117">
        <f>V36+((V37-V36)/(U37-U36)*(U38-U36))</f>
        <v>815.15806672988617</v>
      </c>
      <c r="W38" s="5"/>
      <c r="X38" s="222" t="s">
        <v>134</v>
      </c>
      <c r="Y38" s="223">
        <v>13.99</v>
      </c>
      <c r="Z38" s="224">
        <f>(((Z39-Y39)*20)/100)+Y38</f>
        <v>13.992000000000001</v>
      </c>
      <c r="AA38" s="236"/>
      <c r="AB38" s="267">
        <f>(((Z39-Y39)*18)/100)+Y38</f>
        <v>13.9918</v>
      </c>
      <c r="AC38" s="5"/>
      <c r="AD38" s="5"/>
      <c r="AE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ht="14.5" thickBot="1">
      <c r="A39" s="43"/>
      <c r="B39" s="44"/>
      <c r="C39" s="45"/>
      <c r="D39" s="44" t="s">
        <v>0</v>
      </c>
      <c r="E39" s="70" t="s">
        <v>15</v>
      </c>
      <c r="F39" s="148">
        <v>216.2</v>
      </c>
      <c r="G39" s="53"/>
      <c r="H39" s="70" t="s">
        <v>15</v>
      </c>
      <c r="I39" s="149">
        <f>SUM(F39)</f>
        <v>216.2</v>
      </c>
      <c r="J39" s="53"/>
      <c r="K39" s="69"/>
      <c r="L39" s="43" t="s">
        <v>16</v>
      </c>
      <c r="M39" s="231">
        <v>20584.189999999999</v>
      </c>
      <c r="N39" s="13"/>
      <c r="P39" s="200">
        <f>F39/2</f>
        <v>108.1</v>
      </c>
      <c r="Q39" s="273" t="s">
        <v>145</v>
      </c>
      <c r="U39" s="5"/>
      <c r="V39" s="5"/>
      <c r="W39" s="5"/>
      <c r="X39" s="222" t="s">
        <v>135</v>
      </c>
      <c r="Y39" s="223">
        <v>14.22</v>
      </c>
      <c r="Z39" s="225">
        <v>14.23</v>
      </c>
      <c r="AA39" s="223"/>
      <c r="AB39" s="266" t="s">
        <v>143</v>
      </c>
      <c r="AC39" s="5"/>
      <c r="AD39" s="5"/>
      <c r="AE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ht="15" thickBot="1">
      <c r="A40" s="43" t="s">
        <v>37</v>
      </c>
      <c r="B40" s="44"/>
      <c r="C40" s="45"/>
      <c r="D40" s="44"/>
      <c r="E40" s="51"/>
      <c r="F40" s="71"/>
      <c r="G40" s="53"/>
      <c r="H40" s="51"/>
      <c r="I40" s="71"/>
      <c r="J40" s="53"/>
      <c r="K40" s="69"/>
      <c r="L40" s="43" t="s">
        <v>60</v>
      </c>
      <c r="M40" s="231">
        <v>165</v>
      </c>
      <c r="N40" s="13"/>
      <c r="O40" s="154"/>
      <c r="P40" s="155"/>
      <c r="Q40" s="156"/>
      <c r="R40" s="156"/>
      <c r="S40" s="154">
        <f>+O40-0.5</f>
        <v>-0.5</v>
      </c>
      <c r="T40" s="156"/>
      <c r="U40" s="154">
        <f>O40+0.5</f>
        <v>0.5</v>
      </c>
      <c r="V40" s="156"/>
      <c r="W40" s="297"/>
      <c r="X40" s="222" t="s">
        <v>3</v>
      </c>
      <c r="Y40" s="223">
        <v>14.26</v>
      </c>
      <c r="Z40" s="224">
        <f>(((Z39-Y39)*80)/100)+Y40</f>
        <v>14.267999999999999</v>
      </c>
      <c r="AA40" s="236"/>
      <c r="AB40" s="267">
        <f>(((Z39-Y39)*48)/100+Y40)</f>
        <v>14.264799999999999</v>
      </c>
      <c r="AC40" s="5"/>
      <c r="AD40" s="5"/>
      <c r="AE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ht="15" thickBot="1">
      <c r="A41" s="43" t="s">
        <v>38</v>
      </c>
      <c r="B41" s="44"/>
      <c r="C41" s="45"/>
      <c r="D41" s="44"/>
      <c r="E41" s="51"/>
      <c r="F41" s="71"/>
      <c r="G41" s="53"/>
      <c r="H41" s="51"/>
      <c r="I41" s="71"/>
      <c r="J41" s="53"/>
      <c r="K41" s="69"/>
      <c r="L41" s="153" t="s">
        <v>151</v>
      </c>
      <c r="M41" s="232">
        <v>0</v>
      </c>
      <c r="N41" s="13"/>
      <c r="O41" s="154"/>
      <c r="P41" s="155"/>
      <c r="Q41" s="156"/>
      <c r="R41" s="156"/>
      <c r="S41" s="154">
        <f>+O41-0.5</f>
        <v>-0.5</v>
      </c>
      <c r="T41" s="156"/>
      <c r="U41" s="154">
        <f>O41+0.5</f>
        <v>0.5</v>
      </c>
      <c r="V41" s="156"/>
      <c r="W41" s="5"/>
      <c r="X41" s="5"/>
      <c r="Y41" s="5"/>
      <c r="Z41" s="5"/>
      <c r="AA41" s="5"/>
      <c r="AB41" s="5"/>
      <c r="AC41" s="5"/>
      <c r="AD41" s="5"/>
      <c r="AE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ht="15" thickBot="1">
      <c r="A42" s="43"/>
      <c r="B42" s="44"/>
      <c r="C42" s="45"/>
      <c r="D42" s="44" t="s">
        <v>1</v>
      </c>
      <c r="E42" s="72" t="s">
        <v>15</v>
      </c>
      <c r="F42" s="94">
        <f>Q32</f>
        <v>-1.4590487242962666</v>
      </c>
      <c r="G42" s="67"/>
      <c r="H42" s="72" t="s">
        <v>15</v>
      </c>
      <c r="I42" s="94">
        <f>Q38</f>
        <v>8.7292386379516866</v>
      </c>
      <c r="J42" s="67"/>
      <c r="K42" s="73"/>
      <c r="L42" s="91" t="s">
        <v>27</v>
      </c>
      <c r="M42" s="90">
        <f>SUM(M35:M41)</f>
        <v>21608.89</v>
      </c>
      <c r="N42" s="239"/>
      <c r="O42" s="154"/>
      <c r="P42" s="155"/>
      <c r="Q42" s="156"/>
      <c r="R42" s="156"/>
      <c r="S42" s="154">
        <f t="shared" ref="S42" si="0">+O42-0.5</f>
        <v>-0.5</v>
      </c>
      <c r="T42" s="156"/>
      <c r="U42" s="154">
        <f t="shared" ref="U42" si="1">O42+0.5</f>
        <v>0.5</v>
      </c>
      <c r="V42" s="156"/>
      <c r="W42" s="5"/>
      <c r="X42" s="5"/>
      <c r="Y42" s="5"/>
      <c r="Z42" s="5"/>
      <c r="AA42" s="5"/>
      <c r="AB42" s="5"/>
      <c r="AC42" s="5"/>
      <c r="AD42" s="5"/>
      <c r="AE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ht="14.5">
      <c r="A43" s="43"/>
      <c r="B43" s="44"/>
      <c r="C43" s="45"/>
      <c r="D43" s="44" t="s">
        <v>2</v>
      </c>
      <c r="E43" s="72" t="s">
        <v>15</v>
      </c>
      <c r="F43" s="93">
        <f>R32</f>
        <v>66.5</v>
      </c>
      <c r="G43" s="67"/>
      <c r="H43" s="72" t="s">
        <v>15</v>
      </c>
      <c r="I43" s="93">
        <f>R38</f>
        <v>60.85032266919545</v>
      </c>
      <c r="J43" s="67"/>
      <c r="K43" s="73"/>
      <c r="L43" s="11"/>
      <c r="M43" s="11"/>
      <c r="N43" s="12"/>
      <c r="O43" s="154"/>
      <c r="P43" s="155"/>
      <c r="Q43" s="156"/>
      <c r="R43" s="156"/>
      <c r="S43" s="154">
        <f t="shared" ref="S43" si="2">+O43-0.5</f>
        <v>-0.5</v>
      </c>
      <c r="T43" s="156"/>
      <c r="U43" s="154">
        <f t="shared" ref="U43" si="3">O43+0.5</f>
        <v>0.5</v>
      </c>
      <c r="V43" s="156"/>
      <c r="W43" s="5"/>
      <c r="X43" s="5"/>
      <c r="Y43" s="5"/>
      <c r="Z43" s="5"/>
      <c r="AA43" s="5"/>
      <c r="AB43" s="5"/>
      <c r="AC43" s="5"/>
      <c r="AD43" s="5"/>
      <c r="AE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ht="14.5">
      <c r="A44" s="43" t="s">
        <v>39</v>
      </c>
      <c r="B44" s="44"/>
      <c r="C44" s="45"/>
      <c r="D44" s="44"/>
      <c r="E44" s="72"/>
      <c r="F44" s="57">
        <f>SUM(F36/F39*F42*F43*100)</f>
        <v>-5.5205871326062983</v>
      </c>
      <c r="G44" s="67"/>
      <c r="H44" s="72"/>
      <c r="I44" s="57">
        <f>SUM(I36/I39*I42*I43*100)</f>
        <v>395.01582740362107</v>
      </c>
      <c r="J44" s="67"/>
      <c r="K44" s="61" t="s">
        <v>40</v>
      </c>
      <c r="L44" s="23"/>
      <c r="M44" s="23"/>
      <c r="N44" s="62">
        <f>I60</f>
        <v>34157.73265040206</v>
      </c>
      <c r="O44" s="154"/>
      <c r="P44" s="155"/>
      <c r="Q44" s="156"/>
      <c r="R44" s="156"/>
      <c r="S44" s="154">
        <f>+O44-0.5</f>
        <v>-0.5</v>
      </c>
      <c r="T44" s="156"/>
      <c r="U44" s="154">
        <f>O44+0.5</f>
        <v>0.5</v>
      </c>
      <c r="V44" s="156"/>
      <c r="W44" s="5"/>
      <c r="X44" s="5"/>
      <c r="Y44" s="5"/>
      <c r="Z44" s="5"/>
      <c r="AA44" s="5"/>
      <c r="AB44" s="5"/>
      <c r="AC44" s="5"/>
      <c r="AD44" s="5"/>
      <c r="AE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ht="14.5">
      <c r="A45" s="43" t="s">
        <v>41</v>
      </c>
      <c r="B45" s="44"/>
      <c r="C45" s="45"/>
      <c r="D45" s="44"/>
      <c r="E45" s="72"/>
      <c r="F45" s="57">
        <f>SUM(F37+0.5)</f>
        <v>13.505444150529048</v>
      </c>
      <c r="G45" s="67"/>
      <c r="H45" s="72"/>
      <c r="I45" s="57">
        <f>SUM(I37+0.5)</f>
        <v>6.4003226691954485</v>
      </c>
      <c r="J45" s="67"/>
      <c r="K45" s="61" t="s">
        <v>42</v>
      </c>
      <c r="L45" s="23"/>
      <c r="M45" s="23"/>
      <c r="N45" s="98">
        <f>M42</f>
        <v>21608.89</v>
      </c>
      <c r="O45" s="154">
        <v>16.3</v>
      </c>
      <c r="P45" s="155">
        <v>180807.8</v>
      </c>
      <c r="Q45" s="156">
        <v>-0.23</v>
      </c>
      <c r="R45" s="156">
        <v>121</v>
      </c>
      <c r="S45" s="154">
        <f>+O45-0.5</f>
        <v>15.8</v>
      </c>
      <c r="T45" s="156">
        <v>2490.5</v>
      </c>
      <c r="U45" s="154">
        <f>O45+0.5</f>
        <v>16.8</v>
      </c>
      <c r="V45" s="156">
        <v>2535.9</v>
      </c>
      <c r="W45" s="5"/>
      <c r="X45" s="5"/>
      <c r="Y45" s="5"/>
      <c r="Z45" s="5"/>
      <c r="AA45" s="5"/>
      <c r="AB45" s="5"/>
      <c r="AC45" s="5"/>
      <c r="AD45" s="5"/>
      <c r="AE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ht="15" thickBot="1">
      <c r="A46" s="43" t="s">
        <v>43</v>
      </c>
      <c r="B46" s="44"/>
      <c r="C46" s="45"/>
      <c r="D46" s="44"/>
      <c r="E46" s="72"/>
      <c r="F46" s="57">
        <f>SUM(F37-0.5)</f>
        <v>12.505444150529048</v>
      </c>
      <c r="G46" s="67"/>
      <c r="H46" s="72"/>
      <c r="I46" s="57">
        <f>SUM(I37-0.5)</f>
        <v>5.4003226691954485</v>
      </c>
      <c r="J46" s="67"/>
      <c r="K46" s="61" t="s">
        <v>44</v>
      </c>
      <c r="L46" s="11"/>
      <c r="M46" s="11"/>
      <c r="N46" s="74">
        <f>SUM(N44-N45)</f>
        <v>12548.842650402061</v>
      </c>
      <c r="O46" s="154">
        <v>16.5</v>
      </c>
      <c r="P46" s="155">
        <v>183230.2</v>
      </c>
      <c r="Q46" s="156">
        <v>-0.05</v>
      </c>
      <c r="R46" s="156">
        <v>121.2</v>
      </c>
      <c r="S46" s="154">
        <f>+O46-0.5</f>
        <v>16</v>
      </c>
      <c r="T46" s="156">
        <v>2500.3000000000002</v>
      </c>
      <c r="U46" s="154">
        <f>O46+0.5</f>
        <v>17</v>
      </c>
      <c r="V46" s="156">
        <v>2544</v>
      </c>
      <c r="W46" s="5"/>
      <c r="X46" s="5"/>
      <c r="Y46" s="5"/>
      <c r="Z46" s="5"/>
      <c r="AA46" s="5"/>
      <c r="AB46" s="5"/>
      <c r="AC46" s="5"/>
      <c r="AD46" s="5"/>
      <c r="AE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ht="15" thickTop="1" thickBot="1">
      <c r="A47" s="43" t="s">
        <v>45</v>
      </c>
      <c r="B47" s="44"/>
      <c r="C47" s="45"/>
      <c r="D47" s="44"/>
      <c r="E47" s="72"/>
      <c r="F47" s="57"/>
      <c r="G47" s="67"/>
      <c r="H47" s="72"/>
      <c r="I47" s="57"/>
      <c r="J47" s="67"/>
      <c r="K47" s="61" t="s">
        <v>61</v>
      </c>
      <c r="L47" s="11"/>
      <c r="M47" s="11"/>
      <c r="N47" s="179">
        <f>N32</f>
        <v>11682.073</v>
      </c>
      <c r="O47" s="141">
        <f>P14</f>
        <v>16.399999999999999</v>
      </c>
      <c r="P47" s="117">
        <f>P45+((P46-P45)/(O46-O45)*(O47-O45))</f>
        <v>182018.99999999997</v>
      </c>
      <c r="Q47" s="116">
        <f>(((Q45+((Q46-Q45)/(O46-O45)*(O47-O45)))))</f>
        <v>-0.14000000000000162</v>
      </c>
      <c r="R47" s="116">
        <f>R45+((R46-R45)/(O46-O45)*(O47-O45))</f>
        <v>121.1</v>
      </c>
      <c r="S47" s="116">
        <f>O47-0.5</f>
        <v>15.899999999999999</v>
      </c>
      <c r="T47" s="117">
        <f>T45+((T46-T45)/(S46-S45)*(S47-S45))</f>
        <v>2495.4</v>
      </c>
      <c r="U47" s="116">
        <f t="shared" ref="U47" si="4">O47+0.5</f>
        <v>16.899999999999999</v>
      </c>
      <c r="V47" s="117">
        <f>V45+((V46-V45)/(U46-U45)*(U47-U45))</f>
        <v>2539.9499999999998</v>
      </c>
      <c r="W47" s="5"/>
      <c r="X47" s="5"/>
      <c r="Y47" s="5"/>
      <c r="Z47" s="5"/>
      <c r="AA47" s="5"/>
      <c r="AB47" s="5"/>
      <c r="AC47" s="5"/>
      <c r="AD47" s="5"/>
      <c r="AE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ht="15" thickTop="1" thickBot="1">
      <c r="A48" s="43" t="s">
        <v>46</v>
      </c>
      <c r="B48" s="44"/>
      <c r="C48" s="45"/>
      <c r="D48" s="44"/>
      <c r="E48" s="75">
        <f>F37+0.5</f>
        <v>13.505444150529048</v>
      </c>
      <c r="F48" s="57">
        <f>V32</f>
        <v>1043.2166225793571</v>
      </c>
      <c r="G48" s="67" t="s">
        <v>15</v>
      </c>
      <c r="H48" s="75">
        <f>I37+0.5</f>
        <v>6.4003226691954485</v>
      </c>
      <c r="I48" s="57">
        <f>V38</f>
        <v>815.15806672988617</v>
      </c>
      <c r="J48" s="67" t="s">
        <v>15</v>
      </c>
      <c r="K48" s="69"/>
      <c r="L48" s="11"/>
      <c r="M48" s="99" t="s">
        <v>70</v>
      </c>
      <c r="N48" s="186">
        <f>INT(N46-N47)</f>
        <v>866</v>
      </c>
      <c r="P48" s="118"/>
      <c r="Q48" s="291">
        <f>P39-R48</f>
        <v>-33.703000000000003</v>
      </c>
      <c r="R48" s="1">
        <v>141.803</v>
      </c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1:46" ht="14.5" thickTop="1">
      <c r="A49" s="43" t="s">
        <v>47</v>
      </c>
      <c r="B49" s="44"/>
      <c r="C49" s="45"/>
      <c r="D49" s="44"/>
      <c r="E49" s="75">
        <f>F37-0.5</f>
        <v>12.505444150529048</v>
      </c>
      <c r="F49" s="57">
        <f>T32</f>
        <v>1022.4017236973448</v>
      </c>
      <c r="G49" s="67" t="s">
        <v>15</v>
      </c>
      <c r="H49" s="75">
        <f>I37-0.5</f>
        <v>5.4003226691954485</v>
      </c>
      <c r="I49" s="57">
        <f>T38</f>
        <v>790.85742139149534</v>
      </c>
      <c r="J49" s="67" t="s">
        <v>15</v>
      </c>
      <c r="K49" s="330"/>
      <c r="L49" s="331"/>
      <c r="M49" s="9" t="s">
        <v>71</v>
      </c>
      <c r="N49" s="62">
        <f>PRODUCT(N48)*(0.98421)</f>
        <v>852.32586000000003</v>
      </c>
      <c r="O49" s="118"/>
      <c r="P49" s="145">
        <f>Q14</f>
        <v>150940</v>
      </c>
      <c r="Q49" s="4" t="s">
        <v>108</v>
      </c>
      <c r="S49" s="199" t="s">
        <v>116</v>
      </c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L49" s="5"/>
      <c r="AM49" s="5"/>
      <c r="AN49" s="5"/>
      <c r="AO49" s="5"/>
      <c r="AP49" s="5"/>
      <c r="AQ49" s="5"/>
      <c r="AR49" s="5"/>
      <c r="AS49" s="5"/>
      <c r="AT49" s="5"/>
    </row>
    <row r="50" spans="1:46" ht="14">
      <c r="A50" s="43" t="s">
        <v>48</v>
      </c>
      <c r="B50" s="45"/>
      <c r="C50" s="45"/>
      <c r="D50" s="45"/>
      <c r="E50" s="75"/>
      <c r="F50" s="57">
        <f>SUM(F48-F49)</f>
        <v>20.814898882012358</v>
      </c>
      <c r="G50" s="67"/>
      <c r="H50" s="75"/>
      <c r="I50" s="57">
        <f>SUM(I48-I49)</f>
        <v>24.300645338390837</v>
      </c>
      <c r="J50" s="67"/>
      <c r="K50" s="69"/>
      <c r="L50" s="23"/>
      <c r="M50" s="23" t="s">
        <v>72</v>
      </c>
      <c r="N50" s="62">
        <f>PRODUCT(N49)*(1.12)</f>
        <v>954.60496320000016</v>
      </c>
      <c r="O50" s="118"/>
      <c r="P50" s="145">
        <f>N48</f>
        <v>866</v>
      </c>
      <c r="Q50" s="146" t="s">
        <v>109</v>
      </c>
      <c r="S50" s="201">
        <f>P49-P50</f>
        <v>150074</v>
      </c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L50" s="5"/>
      <c r="AM50" s="5"/>
      <c r="AN50" s="5"/>
      <c r="AO50" s="5"/>
      <c r="AP50" s="5"/>
      <c r="AQ50" s="5"/>
      <c r="AR50" s="5"/>
      <c r="AS50" s="5"/>
      <c r="AT50" s="5"/>
    </row>
    <row r="51" spans="1:46" ht="14">
      <c r="A51" s="43" t="s">
        <v>49</v>
      </c>
      <c r="B51" s="44"/>
      <c r="C51" s="45"/>
      <c r="D51" s="44"/>
      <c r="E51" s="72"/>
      <c r="F51" s="57">
        <f>SUM(F36*F36*F50*50/F39)</f>
        <v>7.2842971881535795E-2</v>
      </c>
      <c r="G51" s="67"/>
      <c r="H51" s="72"/>
      <c r="I51" s="57">
        <f>SUM(I36*I36*I50*50/I39)</f>
        <v>14.52760395525881</v>
      </c>
      <c r="J51" s="67"/>
      <c r="K51" s="152" t="s">
        <v>111</v>
      </c>
      <c r="L51" s="23"/>
      <c r="M51" s="23"/>
      <c r="N51" s="13"/>
      <c r="P51" s="145">
        <v>146940</v>
      </c>
      <c r="Q51" s="146" t="s">
        <v>110</v>
      </c>
      <c r="S51" s="303">
        <f>P51-P50</f>
        <v>146074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L51" s="5"/>
      <c r="AM51" s="5"/>
      <c r="AN51" s="5"/>
      <c r="AO51" s="5"/>
      <c r="AP51" s="5"/>
      <c r="AQ51" s="5"/>
      <c r="AR51" s="5"/>
      <c r="AS51" s="5"/>
      <c r="AT51" s="5"/>
    </row>
    <row r="52" spans="1:46" ht="14">
      <c r="A52" s="43" t="s">
        <v>50</v>
      </c>
      <c r="B52" s="44"/>
      <c r="C52" s="45"/>
      <c r="D52" s="44"/>
      <c r="E52" s="72"/>
      <c r="F52" s="57">
        <f>SUM(F17-F18)</f>
        <v>-1.9999999999999574E-2</v>
      </c>
      <c r="G52" s="67"/>
      <c r="H52" s="72"/>
      <c r="I52" s="57">
        <f>SUM(I17-I18)</f>
        <v>9.9999999999997868E-3</v>
      </c>
      <c r="J52" s="67"/>
      <c r="K52" s="153"/>
      <c r="L52" s="11"/>
      <c r="M52" s="23"/>
      <c r="N52" s="62"/>
      <c r="O52" s="2"/>
      <c r="P52" s="300"/>
      <c r="Q52" s="301"/>
      <c r="R52" s="337" t="s">
        <v>146</v>
      </c>
      <c r="S52" s="286" t="s">
        <v>147</v>
      </c>
      <c r="U52" s="5"/>
      <c r="V52" s="282" t="s">
        <v>148</v>
      </c>
      <c r="W52" s="283" t="s">
        <v>149</v>
      </c>
      <c r="X52" s="5"/>
      <c r="Y52" s="5"/>
      <c r="Z52" s="5"/>
      <c r="AA52" s="5"/>
      <c r="AB52" s="5"/>
      <c r="AC52" s="5"/>
      <c r="AD52" s="5"/>
      <c r="AE52" s="5"/>
      <c r="AL52" s="5"/>
      <c r="AM52" s="5"/>
      <c r="AN52" s="5"/>
      <c r="AO52" s="5"/>
      <c r="AP52" s="5"/>
      <c r="AQ52" s="5"/>
      <c r="AR52" s="5"/>
      <c r="AS52" s="5"/>
      <c r="AT52" s="5"/>
    </row>
    <row r="53" spans="1:46" ht="14">
      <c r="A53" s="43" t="s">
        <v>51</v>
      </c>
      <c r="B53" s="44"/>
      <c r="C53" s="45"/>
      <c r="D53" s="44"/>
      <c r="E53" s="72"/>
      <c r="F53" s="57" t="s">
        <v>52</v>
      </c>
      <c r="G53" s="67"/>
      <c r="H53" s="72"/>
      <c r="I53" s="57" t="s">
        <v>52</v>
      </c>
      <c r="J53" s="67"/>
      <c r="K53" s="61"/>
      <c r="L53" s="23"/>
      <c r="M53" s="23"/>
      <c r="N53" s="62"/>
      <c r="O53" s="5"/>
      <c r="P53" s="302"/>
      <c r="Q53" s="302"/>
      <c r="R53" s="338"/>
      <c r="S53" s="284">
        <f>((P50-P51)/P51)*100</f>
        <v>-99.410643800190556</v>
      </c>
      <c r="T53" s="339" t="s">
        <v>150</v>
      </c>
      <c r="U53" s="340"/>
      <c r="V53" s="282">
        <f>(Y35*S53)/100</f>
        <v>0</v>
      </c>
      <c r="W53" s="285">
        <f>Y28+Y33+AD30+V53</f>
        <v>0</v>
      </c>
      <c r="AD53" s="5"/>
      <c r="AE53" s="5"/>
      <c r="AF53" s="5"/>
      <c r="AG53" s="5"/>
      <c r="AH53" s="5"/>
      <c r="AI53" s="5"/>
      <c r="AJ53" s="5"/>
      <c r="AK53" s="5"/>
      <c r="AL53" s="5"/>
    </row>
    <row r="54" spans="1:46" ht="14">
      <c r="A54" s="43" t="s">
        <v>53</v>
      </c>
      <c r="B54" s="44"/>
      <c r="C54" s="45"/>
      <c r="D54" s="44"/>
      <c r="E54" s="75">
        <f>F17</f>
        <v>12.99</v>
      </c>
      <c r="F54" s="57">
        <f>F43</f>
        <v>66.5</v>
      </c>
      <c r="G54" s="67" t="s">
        <v>15</v>
      </c>
      <c r="H54" s="75">
        <f>I17</f>
        <v>5.89</v>
      </c>
      <c r="I54" s="57">
        <f>I43</f>
        <v>60.85032266919545</v>
      </c>
      <c r="J54" s="67" t="s">
        <v>15</v>
      </c>
      <c r="K54" s="61"/>
      <c r="L54" s="23"/>
      <c r="M54" s="23"/>
      <c r="N54" s="62"/>
      <c r="O54" s="5"/>
      <c r="P54" s="5"/>
      <c r="Q54" s="5"/>
      <c r="R54" s="5"/>
      <c r="S54" s="5"/>
      <c r="T54" s="5"/>
      <c r="U54" s="5"/>
      <c r="V54" s="5"/>
      <c r="W54" s="5"/>
      <c r="AD54" s="5"/>
      <c r="AE54" s="5"/>
      <c r="AF54" s="5"/>
      <c r="AG54" s="5"/>
      <c r="AH54" s="5"/>
      <c r="AI54" s="5"/>
      <c r="AJ54" s="5"/>
      <c r="AK54" s="5"/>
      <c r="AL54" s="5"/>
    </row>
    <row r="55" spans="1:46" ht="14">
      <c r="A55" s="43" t="s">
        <v>54</v>
      </c>
      <c r="B55" s="44"/>
      <c r="C55" s="45"/>
      <c r="D55" s="44"/>
      <c r="E55" s="75">
        <f>F18</f>
        <v>13.01</v>
      </c>
      <c r="F55" s="57">
        <f>F43</f>
        <v>66.5</v>
      </c>
      <c r="G55" s="67" t="s">
        <v>15</v>
      </c>
      <c r="H55" s="75">
        <f>I18</f>
        <v>5.88</v>
      </c>
      <c r="I55" s="57">
        <f>I43</f>
        <v>60.85032266919545</v>
      </c>
      <c r="J55" s="67" t="s">
        <v>15</v>
      </c>
      <c r="K55" s="22"/>
      <c r="L55" s="23"/>
      <c r="M55" s="23"/>
      <c r="N55" s="13"/>
      <c r="O55" s="5"/>
      <c r="P55" s="5"/>
      <c r="Q55" s="5"/>
      <c r="R55" s="5"/>
      <c r="S55" s="5"/>
      <c r="T55" s="5"/>
      <c r="U55" s="5"/>
      <c r="V55" s="5"/>
      <c r="W55" s="5"/>
      <c r="AD55" s="5"/>
      <c r="AE55" s="5"/>
      <c r="AF55" s="5"/>
      <c r="AG55" s="5"/>
      <c r="AH55" s="5"/>
      <c r="AI55" s="5"/>
      <c r="AJ55" s="5"/>
      <c r="AK55" s="5"/>
      <c r="AL55" s="5"/>
    </row>
    <row r="56" spans="1:46" ht="14">
      <c r="A56" s="43" t="s">
        <v>55</v>
      </c>
      <c r="B56" s="44"/>
      <c r="C56" s="45"/>
      <c r="D56" s="44"/>
      <c r="E56" s="75"/>
      <c r="F56" s="57">
        <f>SUM(F54-F55)</f>
        <v>0</v>
      </c>
      <c r="G56" s="67"/>
      <c r="H56" s="75"/>
      <c r="I56" s="57">
        <f>SUM(I54-I55)</f>
        <v>0</v>
      </c>
      <c r="J56" s="67"/>
      <c r="K56" s="22"/>
      <c r="L56" s="23"/>
      <c r="M56" s="76"/>
      <c r="N56" s="62"/>
      <c r="O56" s="5"/>
      <c r="P56" s="5"/>
      <c r="Q56" s="5"/>
      <c r="R56" s="5"/>
      <c r="S56" s="5"/>
      <c r="T56" s="5"/>
      <c r="U56" s="5"/>
      <c r="V56" s="5"/>
      <c r="W56" s="5"/>
      <c r="AD56" s="5"/>
      <c r="AE56" s="5"/>
      <c r="AF56" s="5"/>
      <c r="AG56" s="5"/>
      <c r="AH56" s="5"/>
      <c r="AI56" s="5"/>
      <c r="AJ56" s="5"/>
      <c r="AK56" s="5"/>
      <c r="AL56" s="5"/>
    </row>
    <row r="57" spans="1:46" ht="14">
      <c r="A57" s="43" t="s">
        <v>56</v>
      </c>
      <c r="B57" s="44"/>
      <c r="C57" s="45"/>
      <c r="D57" s="44"/>
      <c r="E57" s="75"/>
      <c r="F57" s="57">
        <f>SUM(F52*F56*6)</f>
        <v>0</v>
      </c>
      <c r="G57" s="67"/>
      <c r="H57" s="75"/>
      <c r="I57" s="57">
        <f>SUM(I52*I56*6)</f>
        <v>0</v>
      </c>
      <c r="J57" s="67"/>
      <c r="K57" s="22"/>
      <c r="L57" s="23"/>
      <c r="M57" s="23"/>
      <c r="N57" s="13"/>
      <c r="O57" s="5"/>
      <c r="P57" s="5"/>
      <c r="Q57" s="5"/>
      <c r="R57" s="5"/>
      <c r="S57" s="5"/>
      <c r="T57" s="5"/>
      <c r="U57" s="5"/>
      <c r="V57" s="5"/>
      <c r="W57" s="5"/>
      <c r="AD57" s="5"/>
      <c r="AE57" s="5"/>
      <c r="AF57" s="5"/>
      <c r="AG57" s="5"/>
      <c r="AH57" s="5"/>
      <c r="AI57" s="5"/>
      <c r="AJ57" s="5"/>
      <c r="AK57" s="5"/>
      <c r="AL57" s="5"/>
    </row>
    <row r="58" spans="1:46" ht="14">
      <c r="A58" s="43" t="s">
        <v>57</v>
      </c>
      <c r="B58" s="44"/>
      <c r="C58" s="45"/>
      <c r="D58" s="44"/>
      <c r="E58" s="77"/>
      <c r="F58" s="193">
        <f>SUM(F38+F44+F51+F57)</f>
        <v>79387.599410061681</v>
      </c>
      <c r="G58" s="67"/>
      <c r="H58" s="77"/>
      <c r="I58" s="57">
        <f>SUM(I38+I44+I51+I57)</f>
        <v>34494.262036120308</v>
      </c>
      <c r="J58" s="67"/>
      <c r="K58" s="22"/>
      <c r="L58" s="23"/>
      <c r="M58" s="78"/>
      <c r="N58" s="62"/>
      <c r="O58" s="5"/>
      <c r="P58" s="5"/>
      <c r="Q58" s="5"/>
      <c r="R58" s="5"/>
      <c r="S58" s="5"/>
      <c r="T58" s="5"/>
      <c r="U58" s="5"/>
      <c r="V58" s="5"/>
      <c r="W58" s="5"/>
      <c r="AD58" s="5"/>
      <c r="AE58" s="5"/>
      <c r="AF58" s="5"/>
      <c r="AG58" s="5"/>
      <c r="AH58" s="5"/>
      <c r="AI58" s="5"/>
      <c r="AJ58" s="5"/>
      <c r="AK58" s="5"/>
      <c r="AL58" s="5"/>
    </row>
    <row r="59" spans="1:46" ht="14">
      <c r="A59" s="43" t="s">
        <v>58</v>
      </c>
      <c r="B59" s="44"/>
      <c r="C59" s="45"/>
      <c r="D59" s="44"/>
      <c r="E59" s="72" t="s">
        <v>15</v>
      </c>
      <c r="F59" s="97">
        <v>1.0249999999999999</v>
      </c>
      <c r="G59" s="67"/>
      <c r="H59" s="72" t="s">
        <v>15</v>
      </c>
      <c r="I59" s="97">
        <v>1.0249999999999999</v>
      </c>
      <c r="J59" s="67"/>
      <c r="K59" s="22"/>
      <c r="L59" s="23"/>
      <c r="M59" s="23"/>
      <c r="N59" s="13"/>
      <c r="O59" s="5"/>
      <c r="P59" s="5"/>
      <c r="Q59" s="5"/>
      <c r="R59" s="5"/>
      <c r="S59" s="5"/>
      <c r="T59" s="5"/>
      <c r="U59" s="5"/>
      <c r="V59" s="5"/>
      <c r="W59" s="5"/>
      <c r="AD59" s="5"/>
      <c r="AE59" s="5"/>
      <c r="AF59" s="5"/>
      <c r="AG59" s="5"/>
      <c r="AH59" s="5"/>
      <c r="AI59" s="5"/>
      <c r="AJ59" s="5"/>
      <c r="AK59" s="5"/>
      <c r="AL59" s="5"/>
    </row>
    <row r="60" spans="1:46" ht="14">
      <c r="A60" s="101" t="s">
        <v>59</v>
      </c>
      <c r="B60" s="44"/>
      <c r="C60" s="45"/>
      <c r="D60" s="44"/>
      <c r="E60" s="77"/>
      <c r="F60" s="194">
        <f>SUM(F58*F20/F59)</f>
        <v>78922.891511075955</v>
      </c>
      <c r="G60" s="103"/>
      <c r="H60" s="104"/>
      <c r="I60" s="102">
        <f>SUM(I58*I20/I59)</f>
        <v>34157.73265040206</v>
      </c>
      <c r="J60" s="67"/>
      <c r="K60" s="197" t="s">
        <v>115</v>
      </c>
      <c r="L60" s="44"/>
      <c r="M60" s="198"/>
      <c r="N60" s="98"/>
      <c r="P60" s="4"/>
      <c r="Q60" s="4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L60" s="5"/>
      <c r="AM60" s="5"/>
      <c r="AN60" s="5"/>
      <c r="AO60" s="5"/>
      <c r="AP60" s="5"/>
      <c r="AQ60" s="5"/>
      <c r="AR60" s="5"/>
      <c r="AS60" s="5"/>
      <c r="AT60" s="5"/>
    </row>
    <row r="61" spans="1:46" ht="14">
      <c r="A61" s="20"/>
      <c r="B61" s="20"/>
      <c r="C61" s="20"/>
      <c r="D61" s="20"/>
      <c r="E61" s="20"/>
      <c r="F61" s="79"/>
      <c r="G61" s="20"/>
      <c r="H61" s="20"/>
      <c r="I61" s="80"/>
      <c r="J61" s="20"/>
      <c r="K61" s="19"/>
      <c r="L61" s="19"/>
      <c r="M61" s="19"/>
      <c r="N61" s="19"/>
      <c r="P61" s="332"/>
      <c r="Q61" s="332"/>
      <c r="R61" s="332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L61" s="5"/>
      <c r="AM61" s="5"/>
      <c r="AN61" s="5"/>
      <c r="AO61" s="5"/>
      <c r="AP61" s="5"/>
      <c r="AQ61" s="5"/>
      <c r="AR61" s="5"/>
      <c r="AS61" s="5"/>
      <c r="AT61" s="5"/>
    </row>
    <row r="62" spans="1:46" ht="14">
      <c r="A62" s="100"/>
      <c r="B62" s="16"/>
      <c r="C62" s="16"/>
      <c r="D62" s="81"/>
      <c r="E62" s="19"/>
      <c r="F62" s="82"/>
      <c r="G62" s="19"/>
      <c r="H62" s="20"/>
      <c r="I62" s="80"/>
      <c r="J62" s="20"/>
      <c r="K62" s="23"/>
      <c r="L62" s="19"/>
      <c r="M62" s="9"/>
      <c r="N62" s="19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L62" s="5"/>
      <c r="AM62" s="5"/>
      <c r="AN62" s="5"/>
      <c r="AO62" s="5"/>
      <c r="AP62" s="5"/>
      <c r="AQ62" s="5"/>
      <c r="AR62" s="5"/>
      <c r="AS62" s="5"/>
      <c r="AT62" s="5"/>
    </row>
    <row r="63" spans="1:46" ht="14">
      <c r="A63" s="100"/>
      <c r="B63" s="16"/>
      <c r="C63" s="16"/>
      <c r="D63" s="81"/>
      <c r="E63" s="19"/>
      <c r="F63" s="83"/>
      <c r="G63" s="345" t="s">
        <v>163</v>
      </c>
      <c r="H63" s="346"/>
      <c r="I63" s="346"/>
      <c r="J63" s="346"/>
      <c r="K63" s="346"/>
      <c r="L63" s="346"/>
      <c r="M63" s="346"/>
      <c r="N63" s="346"/>
      <c r="P63" s="4"/>
      <c r="Q63" s="4"/>
      <c r="R63" s="4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L63" s="5"/>
      <c r="AM63" s="5"/>
      <c r="AN63" s="5"/>
      <c r="AO63" s="5"/>
      <c r="AP63" s="5"/>
      <c r="AQ63" s="5"/>
      <c r="AR63" s="5"/>
      <c r="AS63" s="5"/>
      <c r="AT63" s="5"/>
    </row>
    <row r="64" spans="1:46" ht="14">
      <c r="A64" s="10" t="s">
        <v>75</v>
      </c>
      <c r="B64" s="10"/>
      <c r="C64" s="10"/>
      <c r="D64" s="19"/>
      <c r="E64" s="19"/>
      <c r="F64" s="82"/>
      <c r="G64" s="19"/>
      <c r="H64" s="20"/>
      <c r="I64" s="347" t="s">
        <v>159</v>
      </c>
      <c r="J64" s="346"/>
      <c r="K64" s="346"/>
      <c r="L64" s="346"/>
      <c r="M64" s="346"/>
      <c r="N64" s="346"/>
      <c r="P64" s="4"/>
      <c r="Q64" s="4"/>
      <c r="R64" s="4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L64" s="5"/>
      <c r="AM64" s="5"/>
      <c r="AN64" s="5"/>
      <c r="AO64" s="5"/>
      <c r="AP64" s="5"/>
      <c r="AQ64" s="5"/>
      <c r="AR64" s="5"/>
      <c r="AS64" s="5"/>
      <c r="AT64" s="5"/>
    </row>
    <row r="65" spans="1:46" ht="14">
      <c r="A65" s="20"/>
      <c r="B65" s="20"/>
      <c r="C65" s="20"/>
      <c r="D65" s="20"/>
      <c r="E65" s="20"/>
      <c r="F65" s="79"/>
      <c r="G65" s="20"/>
      <c r="H65" s="20"/>
      <c r="I65" s="84"/>
      <c r="J65" s="85"/>
      <c r="K65" s="85"/>
      <c r="M65" s="85"/>
      <c r="N65" s="85"/>
      <c r="P65" s="4"/>
      <c r="Q65" s="4"/>
      <c r="R65" s="4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L65" s="5"/>
      <c r="AM65" s="5"/>
      <c r="AN65" s="5"/>
      <c r="AO65" s="5"/>
      <c r="AP65" s="5"/>
      <c r="AQ65" s="5"/>
      <c r="AR65" s="5"/>
      <c r="AS65" s="5"/>
      <c r="AT65" s="5"/>
    </row>
    <row r="66" spans="1:46" ht="14.5">
      <c r="A66" s="86"/>
      <c r="B66" s="20"/>
      <c r="C66" s="20"/>
      <c r="D66" s="20"/>
      <c r="E66" s="20"/>
      <c r="F66" s="79"/>
      <c r="G66" s="20"/>
      <c r="H66" s="20"/>
      <c r="I66" s="80"/>
      <c r="J66" s="23"/>
      <c r="K66" s="11"/>
      <c r="L66" s="87"/>
      <c r="M66" s="95"/>
      <c r="N66" s="10"/>
      <c r="P66" s="4"/>
      <c r="Q66" s="4"/>
      <c r="R66" s="4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L66" s="5"/>
      <c r="AM66" s="5"/>
      <c r="AN66" s="5"/>
      <c r="AO66" s="5"/>
      <c r="AP66" s="5"/>
      <c r="AQ66" s="5"/>
      <c r="AR66" s="5"/>
      <c r="AS66" s="5"/>
      <c r="AT66" s="5"/>
    </row>
    <row r="67" spans="1:46" ht="14.5">
      <c r="A67" s="86"/>
      <c r="B67" s="86"/>
      <c r="C67" s="86"/>
      <c r="D67" s="86"/>
      <c r="E67" s="20"/>
      <c r="F67" s="79"/>
      <c r="G67" s="23"/>
      <c r="H67" s="11"/>
      <c r="I67" s="87"/>
      <c r="J67" s="23"/>
      <c r="K67" s="23"/>
      <c r="L67" s="87"/>
      <c r="M67" s="95"/>
      <c r="N67" s="10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L67" s="5"/>
      <c r="AM67" s="5"/>
      <c r="AN67" s="5"/>
      <c r="AO67" s="5"/>
      <c r="AP67" s="5"/>
      <c r="AQ67" s="5"/>
      <c r="AR67" s="5"/>
      <c r="AS67" s="5"/>
      <c r="AT67" s="5"/>
    </row>
    <row r="68" spans="1:46" ht="14.5">
      <c r="A68" s="86"/>
      <c r="B68" s="20"/>
      <c r="C68" s="20"/>
      <c r="D68" s="20"/>
      <c r="E68" s="20"/>
      <c r="F68" s="79"/>
      <c r="G68" s="23"/>
      <c r="H68" s="23"/>
      <c r="I68" s="87"/>
      <c r="J68" s="23"/>
      <c r="K68" s="11"/>
      <c r="L68" s="87"/>
      <c r="M68" s="10"/>
      <c r="N68" s="10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L68" s="5"/>
      <c r="AM68" s="5"/>
      <c r="AN68" s="5"/>
      <c r="AO68" s="5"/>
      <c r="AP68" s="5"/>
      <c r="AQ68" s="5"/>
      <c r="AR68" s="5"/>
      <c r="AS68" s="5"/>
      <c r="AT68" s="5"/>
    </row>
    <row r="69" spans="1:46" ht="14.5">
      <c r="A69" s="86"/>
      <c r="B69" s="11"/>
      <c r="C69" s="11"/>
      <c r="D69" s="11"/>
      <c r="E69" s="11"/>
      <c r="F69" s="88"/>
      <c r="G69" s="23"/>
      <c r="H69" s="11"/>
      <c r="I69" s="87"/>
      <c r="J69" s="11"/>
      <c r="K69" s="11"/>
      <c r="L69" s="87"/>
      <c r="M69" s="10"/>
      <c r="N69" s="10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L69" s="5"/>
      <c r="AM69" s="5"/>
      <c r="AN69" s="5"/>
      <c r="AO69" s="5"/>
      <c r="AP69" s="5"/>
      <c r="AQ69" s="5"/>
      <c r="AR69" s="5"/>
      <c r="AS69" s="5"/>
      <c r="AT69" s="5"/>
    </row>
    <row r="70" spans="1:46" ht="14">
      <c r="A70" s="11"/>
      <c r="B70" s="11"/>
      <c r="C70" s="11"/>
      <c r="D70" s="11"/>
      <c r="E70" s="11"/>
      <c r="F70" s="88"/>
      <c r="G70" s="11"/>
      <c r="H70" s="11"/>
      <c r="I70" s="87"/>
      <c r="J70" s="10"/>
      <c r="K70" s="10"/>
      <c r="L70" s="20"/>
      <c r="M70" s="20"/>
      <c r="N70" s="20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L70" s="5"/>
      <c r="AM70" s="5"/>
      <c r="AN70" s="5"/>
      <c r="AO70" s="5"/>
      <c r="AP70" s="5"/>
      <c r="AQ70" s="5"/>
      <c r="AR70" s="5"/>
      <c r="AS70" s="5"/>
      <c r="AT70" s="5"/>
    </row>
    <row r="71" spans="1:46" ht="14">
      <c r="A71" s="6"/>
      <c r="B71" s="6"/>
      <c r="C71" s="6"/>
      <c r="D71" s="6"/>
      <c r="E71" s="6"/>
      <c r="F71" s="7"/>
      <c r="G71" s="6"/>
      <c r="H71" s="6"/>
      <c r="I71" s="8"/>
      <c r="J71" s="6"/>
      <c r="O71" s="332"/>
      <c r="P71" s="332"/>
      <c r="Q71" s="332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L71" s="5"/>
      <c r="AM71" s="5"/>
      <c r="AN71" s="5"/>
      <c r="AO71" s="5"/>
      <c r="AP71" s="5"/>
      <c r="AQ71" s="5"/>
      <c r="AR71" s="5"/>
      <c r="AS71" s="5"/>
      <c r="AT71" s="5"/>
    </row>
    <row r="72" spans="1:46"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L72" s="5"/>
      <c r="AM72" s="5"/>
      <c r="AN72" s="5"/>
      <c r="AO72" s="5"/>
      <c r="AP72" s="5"/>
      <c r="AQ72" s="5"/>
      <c r="AR72" s="5"/>
      <c r="AS72" s="5"/>
      <c r="AT72" s="5"/>
    </row>
    <row r="73" spans="1:46"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L73" s="5"/>
      <c r="AM73" s="5"/>
      <c r="AN73" s="5"/>
      <c r="AO73" s="5"/>
      <c r="AP73" s="5"/>
      <c r="AQ73" s="5"/>
      <c r="AR73" s="5"/>
      <c r="AS73" s="5"/>
      <c r="AT73" s="5"/>
    </row>
    <row r="74" spans="1:46"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L74" s="5"/>
      <c r="AM74" s="5"/>
      <c r="AN74" s="5"/>
      <c r="AO74" s="5"/>
      <c r="AP74" s="5"/>
      <c r="AQ74" s="5"/>
      <c r="AR74" s="5"/>
      <c r="AS74" s="5"/>
      <c r="AT74" s="5"/>
    </row>
    <row r="75" spans="1:46"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L75" s="5"/>
      <c r="AM75" s="5"/>
      <c r="AN75" s="5"/>
      <c r="AO75" s="5"/>
      <c r="AP75" s="5"/>
      <c r="AQ75" s="5"/>
      <c r="AR75" s="5"/>
      <c r="AS75" s="5"/>
      <c r="AT75" s="5"/>
    </row>
    <row r="76" spans="1:46"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L76" s="5"/>
      <c r="AM76" s="5"/>
      <c r="AN76" s="5"/>
      <c r="AO76" s="5"/>
      <c r="AP76" s="5"/>
      <c r="AQ76" s="5"/>
      <c r="AR76" s="5"/>
      <c r="AS76" s="5"/>
      <c r="AT76" s="5"/>
    </row>
    <row r="77" spans="1:46"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L77" s="5"/>
      <c r="AM77" s="5"/>
      <c r="AN77" s="5"/>
      <c r="AO77" s="5"/>
      <c r="AP77" s="5"/>
      <c r="AQ77" s="5"/>
      <c r="AR77" s="5"/>
      <c r="AS77" s="5"/>
      <c r="AT77" s="5"/>
    </row>
    <row r="78" spans="1:46"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L78" s="5"/>
      <c r="AM78" s="5"/>
      <c r="AN78" s="5"/>
      <c r="AO78" s="5"/>
      <c r="AP78" s="5"/>
      <c r="AQ78" s="5"/>
      <c r="AR78" s="5"/>
      <c r="AS78" s="5"/>
      <c r="AT78" s="5"/>
    </row>
    <row r="79" spans="1:46"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L79" s="5"/>
      <c r="AM79" s="5"/>
      <c r="AN79" s="5"/>
      <c r="AO79" s="5"/>
      <c r="AP79" s="5"/>
      <c r="AQ79" s="5"/>
      <c r="AR79" s="5"/>
      <c r="AS79" s="5"/>
      <c r="AT79" s="5"/>
    </row>
    <row r="80" spans="1:46"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L80" s="5"/>
      <c r="AM80" s="5"/>
      <c r="AN80" s="5"/>
      <c r="AO80" s="5"/>
      <c r="AP80" s="5"/>
      <c r="AQ80" s="5"/>
      <c r="AR80" s="5"/>
      <c r="AS80" s="5"/>
      <c r="AT80" s="5"/>
    </row>
    <row r="81" spans="15:46" ht="13">
      <c r="O81" s="146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L81" s="5"/>
      <c r="AM81" s="5"/>
      <c r="AN81" s="5"/>
      <c r="AO81" s="5"/>
      <c r="AP81" s="5"/>
      <c r="AQ81" s="5"/>
      <c r="AR81" s="5"/>
      <c r="AS81" s="5"/>
      <c r="AT81" s="5"/>
    </row>
    <row r="82" spans="15:46"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L82" s="5"/>
      <c r="AM82" s="5"/>
      <c r="AN82" s="5"/>
      <c r="AO82" s="5"/>
      <c r="AP82" s="5"/>
      <c r="AQ82" s="5"/>
      <c r="AR82" s="5"/>
      <c r="AS82" s="5"/>
      <c r="AT82" s="5"/>
    </row>
    <row r="83" spans="15:46"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L83" s="5"/>
      <c r="AM83" s="5"/>
      <c r="AN83" s="5"/>
      <c r="AO83" s="5"/>
      <c r="AP83" s="5"/>
      <c r="AQ83" s="5"/>
      <c r="AR83" s="5"/>
      <c r="AS83" s="5"/>
      <c r="AT83" s="5"/>
    </row>
    <row r="84" spans="15:46"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L84" s="5"/>
      <c r="AM84" s="5"/>
      <c r="AN84" s="5"/>
      <c r="AO84" s="5"/>
      <c r="AP84" s="5"/>
      <c r="AQ84" s="5"/>
      <c r="AR84" s="5"/>
      <c r="AS84" s="5"/>
      <c r="AT84" s="5"/>
    </row>
    <row r="85" spans="15:46"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L85" s="5"/>
      <c r="AM85" s="5"/>
      <c r="AN85" s="5"/>
      <c r="AO85" s="5"/>
      <c r="AP85" s="5"/>
      <c r="AQ85" s="5"/>
      <c r="AR85" s="5"/>
      <c r="AS85" s="5"/>
      <c r="AT85" s="5"/>
    </row>
    <row r="86" spans="15:46"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L86" s="5"/>
      <c r="AM86" s="5"/>
      <c r="AN86" s="5"/>
      <c r="AO86" s="5"/>
      <c r="AP86" s="5"/>
      <c r="AQ86" s="5"/>
      <c r="AR86" s="5"/>
      <c r="AS86" s="5"/>
      <c r="AT86" s="5"/>
    </row>
    <row r="87" spans="15:46"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L87" s="5"/>
      <c r="AM87" s="5"/>
      <c r="AN87" s="5"/>
      <c r="AO87" s="5"/>
      <c r="AP87" s="5"/>
      <c r="AQ87" s="5"/>
      <c r="AR87" s="5"/>
      <c r="AS87" s="5"/>
      <c r="AT87" s="5"/>
    </row>
    <row r="88" spans="15:46"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L88" s="5"/>
      <c r="AM88" s="5"/>
      <c r="AN88" s="5"/>
      <c r="AO88" s="5"/>
      <c r="AP88" s="5"/>
      <c r="AQ88" s="5"/>
      <c r="AR88" s="5"/>
      <c r="AS88" s="5"/>
      <c r="AT88" s="5"/>
    </row>
    <row r="89" spans="15:46"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L89" s="5"/>
      <c r="AM89" s="5"/>
      <c r="AN89" s="5"/>
      <c r="AO89" s="5"/>
      <c r="AP89" s="5"/>
      <c r="AQ89" s="5"/>
      <c r="AR89" s="5"/>
      <c r="AS89" s="5"/>
      <c r="AT89" s="5"/>
    </row>
    <row r="90" spans="15:46"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L90" s="5"/>
      <c r="AM90" s="5"/>
      <c r="AN90" s="5"/>
      <c r="AO90" s="5"/>
      <c r="AP90" s="5"/>
      <c r="AQ90" s="5"/>
      <c r="AR90" s="5"/>
      <c r="AS90" s="5"/>
      <c r="AT90" s="5"/>
    </row>
    <row r="91" spans="15:46"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L91" s="5"/>
      <c r="AM91" s="5"/>
      <c r="AN91" s="5"/>
      <c r="AO91" s="5"/>
      <c r="AP91" s="5"/>
      <c r="AQ91" s="5"/>
      <c r="AR91" s="5"/>
      <c r="AS91" s="5"/>
      <c r="AT91" s="5"/>
    </row>
    <row r="92" spans="15:46"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L92" s="5"/>
      <c r="AM92" s="5"/>
      <c r="AN92" s="5"/>
      <c r="AO92" s="5"/>
      <c r="AP92" s="5"/>
      <c r="AQ92" s="5"/>
      <c r="AR92" s="5"/>
      <c r="AS92" s="5"/>
      <c r="AT92" s="5"/>
    </row>
    <row r="93" spans="15:46"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L93" s="5"/>
      <c r="AM93" s="5"/>
      <c r="AN93" s="5"/>
      <c r="AO93" s="5"/>
      <c r="AP93" s="5"/>
      <c r="AQ93" s="5"/>
      <c r="AR93" s="5"/>
      <c r="AS93" s="5"/>
      <c r="AT93" s="5"/>
    </row>
    <row r="94" spans="15:46"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L94" s="5"/>
      <c r="AM94" s="5"/>
      <c r="AN94" s="5"/>
      <c r="AO94" s="5"/>
      <c r="AP94" s="5"/>
      <c r="AQ94" s="5"/>
      <c r="AR94" s="5"/>
      <c r="AS94" s="5"/>
      <c r="AT94" s="5"/>
    </row>
    <row r="95" spans="15:46"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L95" s="5"/>
      <c r="AM95" s="5"/>
      <c r="AN95" s="5"/>
      <c r="AO95" s="5"/>
      <c r="AP95" s="5"/>
      <c r="AQ95" s="5"/>
      <c r="AR95" s="5"/>
      <c r="AS95" s="5"/>
      <c r="AT95" s="5"/>
    </row>
    <row r="96" spans="15:46"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L96" s="5"/>
      <c r="AM96" s="5"/>
      <c r="AN96" s="5"/>
      <c r="AO96" s="5"/>
      <c r="AP96" s="5"/>
      <c r="AQ96" s="5"/>
      <c r="AR96" s="5"/>
      <c r="AS96" s="5"/>
      <c r="AT96" s="5"/>
    </row>
    <row r="97" spans="21:46"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L97" s="5"/>
      <c r="AM97" s="5"/>
      <c r="AN97" s="5"/>
      <c r="AO97" s="5"/>
      <c r="AP97" s="5"/>
      <c r="AQ97" s="5"/>
      <c r="AR97" s="5"/>
      <c r="AS97" s="5"/>
      <c r="AT97" s="5"/>
    </row>
    <row r="98" spans="21:46"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L98" s="5"/>
      <c r="AM98" s="5"/>
      <c r="AN98" s="5"/>
      <c r="AO98" s="5"/>
      <c r="AP98" s="5"/>
      <c r="AQ98" s="5"/>
      <c r="AR98" s="5"/>
      <c r="AS98" s="5"/>
      <c r="AT98" s="5"/>
    </row>
    <row r="99" spans="21:46"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L99" s="5"/>
      <c r="AM99" s="5"/>
      <c r="AN99" s="5"/>
      <c r="AO99" s="5"/>
      <c r="AP99" s="5"/>
      <c r="AQ99" s="5"/>
      <c r="AR99" s="5"/>
      <c r="AS99" s="5"/>
      <c r="AT99" s="5"/>
    </row>
    <row r="100" spans="21:46"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L100" s="5"/>
      <c r="AM100" s="5"/>
      <c r="AN100" s="5"/>
      <c r="AO100" s="5"/>
      <c r="AP100" s="5"/>
      <c r="AQ100" s="5"/>
      <c r="AR100" s="5"/>
      <c r="AS100" s="5"/>
      <c r="AT100" s="5"/>
    </row>
    <row r="101" spans="21:46"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L101" s="5"/>
      <c r="AM101" s="5"/>
      <c r="AN101" s="5"/>
      <c r="AO101" s="5"/>
      <c r="AP101" s="5"/>
      <c r="AQ101" s="5"/>
      <c r="AR101" s="5"/>
      <c r="AS101" s="5"/>
      <c r="AT101" s="5"/>
    </row>
    <row r="102" spans="21:46"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L102" s="5"/>
      <c r="AM102" s="5"/>
      <c r="AN102" s="5"/>
      <c r="AO102" s="5"/>
      <c r="AP102" s="5"/>
      <c r="AQ102" s="5"/>
      <c r="AR102" s="5"/>
      <c r="AS102" s="5"/>
      <c r="AT102" s="5"/>
    </row>
    <row r="103" spans="21:46"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L103" s="5"/>
      <c r="AM103" s="5"/>
      <c r="AN103" s="5"/>
      <c r="AO103" s="5"/>
      <c r="AP103" s="5"/>
      <c r="AQ103" s="5"/>
      <c r="AR103" s="5"/>
      <c r="AS103" s="5"/>
      <c r="AT103" s="5"/>
    </row>
    <row r="104" spans="21:46"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L104" s="5"/>
      <c r="AM104" s="5"/>
      <c r="AN104" s="5"/>
      <c r="AO104" s="5"/>
      <c r="AP104" s="5"/>
      <c r="AQ104" s="5"/>
      <c r="AR104" s="5"/>
      <c r="AS104" s="5"/>
      <c r="AT104" s="5"/>
    </row>
    <row r="105" spans="21:46"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L105" s="5"/>
      <c r="AM105" s="5"/>
      <c r="AN105" s="5"/>
      <c r="AO105" s="5"/>
      <c r="AP105" s="5"/>
      <c r="AQ105" s="5"/>
      <c r="AR105" s="5"/>
      <c r="AS105" s="5"/>
      <c r="AT105" s="5"/>
    </row>
    <row r="106" spans="21:46"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L106" s="5"/>
      <c r="AM106" s="5"/>
      <c r="AN106" s="5"/>
      <c r="AO106" s="5"/>
      <c r="AP106" s="5"/>
      <c r="AQ106" s="5"/>
      <c r="AR106" s="5"/>
      <c r="AS106" s="5"/>
      <c r="AT106" s="5"/>
    </row>
    <row r="107" spans="21:46"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L107" s="5"/>
      <c r="AM107" s="5"/>
      <c r="AN107" s="5"/>
      <c r="AO107" s="5"/>
      <c r="AP107" s="5"/>
      <c r="AQ107" s="5"/>
      <c r="AR107" s="5"/>
      <c r="AS107" s="5"/>
      <c r="AT107" s="5"/>
    </row>
    <row r="108" spans="21:46"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L108" s="5"/>
      <c r="AM108" s="5"/>
      <c r="AN108" s="5"/>
      <c r="AO108" s="5"/>
      <c r="AP108" s="5"/>
      <c r="AQ108" s="5"/>
      <c r="AR108" s="5"/>
      <c r="AS108" s="5"/>
      <c r="AT108" s="5"/>
    </row>
    <row r="109" spans="21:46"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L109" s="5"/>
      <c r="AM109" s="5"/>
      <c r="AN109" s="5"/>
      <c r="AO109" s="5"/>
      <c r="AP109" s="5"/>
      <c r="AQ109" s="5"/>
      <c r="AR109" s="5"/>
      <c r="AS109" s="5"/>
      <c r="AT109" s="5"/>
    </row>
    <row r="110" spans="21:46"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L110" s="5"/>
      <c r="AM110" s="5"/>
      <c r="AN110" s="5"/>
      <c r="AO110" s="5"/>
      <c r="AP110" s="5"/>
      <c r="AQ110" s="5"/>
      <c r="AR110" s="5"/>
      <c r="AS110" s="5"/>
      <c r="AT110" s="5"/>
    </row>
    <row r="111" spans="21:46"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L111" s="5"/>
      <c r="AM111" s="5"/>
      <c r="AN111" s="5"/>
      <c r="AO111" s="5"/>
      <c r="AP111" s="5"/>
      <c r="AQ111" s="5"/>
      <c r="AR111" s="5"/>
      <c r="AS111" s="5"/>
      <c r="AT111" s="5"/>
    </row>
    <row r="112" spans="21:46"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L112" s="5"/>
      <c r="AM112" s="5"/>
      <c r="AN112" s="5"/>
      <c r="AO112" s="5"/>
      <c r="AP112" s="5"/>
      <c r="AQ112" s="5"/>
      <c r="AR112" s="5"/>
      <c r="AS112" s="5"/>
      <c r="AT112" s="5"/>
    </row>
    <row r="113" spans="21:46"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L113" s="5"/>
      <c r="AM113" s="5"/>
      <c r="AN113" s="5"/>
      <c r="AO113" s="5"/>
      <c r="AP113" s="5"/>
      <c r="AQ113" s="5"/>
      <c r="AR113" s="5"/>
      <c r="AS113" s="5"/>
      <c r="AT113" s="5"/>
    </row>
    <row r="114" spans="21:46"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L114" s="5"/>
      <c r="AM114" s="5"/>
      <c r="AN114" s="5"/>
      <c r="AO114" s="5"/>
      <c r="AP114" s="5"/>
      <c r="AQ114" s="5"/>
      <c r="AR114" s="5"/>
      <c r="AS114" s="5"/>
      <c r="AT114" s="5"/>
    </row>
    <row r="115" spans="21:46"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L115" s="5"/>
      <c r="AM115" s="5"/>
      <c r="AN115" s="5"/>
      <c r="AO115" s="5"/>
      <c r="AP115" s="5"/>
      <c r="AQ115" s="5"/>
      <c r="AR115" s="5"/>
      <c r="AS115" s="5"/>
      <c r="AT115" s="5"/>
    </row>
    <row r="116" spans="21:46"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L116" s="5"/>
      <c r="AM116" s="5"/>
      <c r="AN116" s="5"/>
      <c r="AO116" s="5"/>
      <c r="AP116" s="5"/>
      <c r="AQ116" s="5"/>
      <c r="AR116" s="5"/>
      <c r="AS116" s="5"/>
      <c r="AT116" s="5"/>
    </row>
    <row r="117" spans="21:46"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L117" s="5"/>
      <c r="AM117" s="5"/>
      <c r="AN117" s="5"/>
      <c r="AO117" s="5"/>
      <c r="AP117" s="5"/>
      <c r="AQ117" s="5"/>
      <c r="AR117" s="5"/>
      <c r="AS117" s="5"/>
      <c r="AT117" s="5"/>
    </row>
    <row r="118" spans="21:46"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L118" s="5"/>
      <c r="AM118" s="5"/>
      <c r="AN118" s="5"/>
      <c r="AO118" s="5"/>
      <c r="AP118" s="5"/>
      <c r="AQ118" s="5"/>
      <c r="AR118" s="5"/>
      <c r="AS118" s="5"/>
      <c r="AT118" s="5"/>
    </row>
    <row r="119" spans="21:46"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L119" s="5"/>
      <c r="AM119" s="5"/>
      <c r="AN119" s="5"/>
      <c r="AO119" s="5"/>
      <c r="AP119" s="5"/>
      <c r="AQ119" s="5"/>
      <c r="AR119" s="5"/>
      <c r="AS119" s="5"/>
      <c r="AT119" s="5"/>
    </row>
    <row r="120" spans="21:46"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L120" s="5"/>
      <c r="AM120" s="5"/>
      <c r="AN120" s="5"/>
      <c r="AO120" s="5"/>
      <c r="AP120" s="5"/>
      <c r="AQ120" s="5"/>
      <c r="AR120" s="5"/>
      <c r="AS120" s="5"/>
      <c r="AT120" s="5"/>
    </row>
    <row r="121" spans="21:46"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L121" s="5"/>
      <c r="AM121" s="5"/>
      <c r="AN121" s="5"/>
      <c r="AO121" s="5"/>
      <c r="AP121" s="5"/>
      <c r="AQ121" s="5"/>
      <c r="AR121" s="5"/>
      <c r="AS121" s="5"/>
      <c r="AT121" s="5"/>
    </row>
    <row r="122" spans="21:46"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L122" s="5"/>
      <c r="AM122" s="5"/>
      <c r="AN122" s="5"/>
      <c r="AO122" s="5"/>
      <c r="AP122" s="5"/>
      <c r="AQ122" s="5"/>
      <c r="AR122" s="5"/>
      <c r="AS122" s="5"/>
      <c r="AT122" s="5"/>
    </row>
    <row r="123" spans="21:46"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L123" s="5"/>
      <c r="AM123" s="5"/>
      <c r="AN123" s="5"/>
      <c r="AO123" s="5"/>
      <c r="AP123" s="5"/>
      <c r="AQ123" s="5"/>
      <c r="AR123" s="5"/>
      <c r="AS123" s="5"/>
      <c r="AT123" s="5"/>
    </row>
    <row r="124" spans="21:46"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L124" s="5"/>
      <c r="AM124" s="5"/>
      <c r="AN124" s="5"/>
      <c r="AO124" s="5"/>
      <c r="AP124" s="5"/>
      <c r="AQ124" s="5"/>
      <c r="AR124" s="5"/>
      <c r="AS124" s="5"/>
      <c r="AT124" s="5"/>
    </row>
    <row r="125" spans="21:46"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L125" s="5"/>
      <c r="AM125" s="5"/>
      <c r="AN125" s="5"/>
      <c r="AO125" s="5"/>
      <c r="AP125" s="5"/>
      <c r="AQ125" s="5"/>
      <c r="AR125" s="5"/>
      <c r="AS125" s="5"/>
      <c r="AT125" s="5"/>
    </row>
    <row r="126" spans="21:46"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L126" s="5"/>
      <c r="AM126" s="5"/>
      <c r="AN126" s="5"/>
      <c r="AO126" s="5"/>
      <c r="AP126" s="5"/>
      <c r="AQ126" s="5"/>
      <c r="AR126" s="5"/>
      <c r="AS126" s="5"/>
      <c r="AT126" s="5"/>
    </row>
    <row r="127" spans="21:46"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L127" s="5"/>
      <c r="AM127" s="5"/>
      <c r="AN127" s="5"/>
      <c r="AO127" s="5"/>
      <c r="AP127" s="5"/>
      <c r="AQ127" s="5"/>
      <c r="AR127" s="5"/>
      <c r="AS127" s="5"/>
      <c r="AT127" s="5"/>
    </row>
    <row r="128" spans="21:46"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L128" s="5"/>
      <c r="AM128" s="5"/>
      <c r="AN128" s="5"/>
      <c r="AO128" s="5"/>
      <c r="AP128" s="5"/>
      <c r="AQ128" s="5"/>
      <c r="AR128" s="5"/>
      <c r="AS128" s="5"/>
      <c r="AT128" s="5"/>
    </row>
    <row r="129" spans="21:46"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L129" s="5"/>
      <c r="AM129" s="5"/>
      <c r="AN129" s="5"/>
      <c r="AO129" s="5"/>
      <c r="AP129" s="5"/>
      <c r="AQ129" s="5"/>
      <c r="AR129" s="5"/>
      <c r="AS129" s="5"/>
      <c r="AT129" s="5"/>
    </row>
    <row r="130" spans="21:46"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L130" s="5"/>
      <c r="AM130" s="5"/>
      <c r="AN130" s="5"/>
      <c r="AO130" s="5"/>
      <c r="AP130" s="5"/>
      <c r="AQ130" s="5"/>
      <c r="AR130" s="5"/>
      <c r="AS130" s="5"/>
      <c r="AT130" s="5"/>
    </row>
    <row r="131" spans="21:46"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L131" s="5"/>
      <c r="AM131" s="5"/>
      <c r="AN131" s="5"/>
      <c r="AO131" s="5"/>
      <c r="AP131" s="5"/>
      <c r="AQ131" s="5"/>
      <c r="AR131" s="5"/>
      <c r="AS131" s="5"/>
      <c r="AT131" s="5"/>
    </row>
    <row r="132" spans="21:46"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L132" s="5"/>
      <c r="AM132" s="5"/>
      <c r="AN132" s="5"/>
      <c r="AO132" s="5"/>
      <c r="AP132" s="5"/>
      <c r="AQ132" s="5"/>
      <c r="AR132" s="5"/>
      <c r="AS132" s="5"/>
      <c r="AT132" s="5"/>
    </row>
    <row r="133" spans="21:46"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L133" s="5"/>
      <c r="AM133" s="5"/>
      <c r="AN133" s="5"/>
      <c r="AO133" s="5"/>
      <c r="AP133" s="5"/>
      <c r="AQ133" s="5"/>
      <c r="AR133" s="5"/>
      <c r="AS133" s="5"/>
      <c r="AT133" s="5"/>
    </row>
    <row r="134" spans="21:46"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L134" s="5"/>
      <c r="AM134" s="5"/>
      <c r="AN134" s="5"/>
      <c r="AO134" s="5"/>
      <c r="AP134" s="5"/>
      <c r="AQ134" s="5"/>
      <c r="AR134" s="5"/>
      <c r="AS134" s="5"/>
      <c r="AT134" s="5"/>
    </row>
    <row r="135" spans="21:46"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L135" s="5"/>
      <c r="AM135" s="5"/>
      <c r="AN135" s="5"/>
      <c r="AO135" s="5"/>
      <c r="AP135" s="5"/>
      <c r="AQ135" s="5"/>
      <c r="AR135" s="5"/>
      <c r="AS135" s="5"/>
      <c r="AT135" s="5"/>
    </row>
    <row r="136" spans="21:46"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L136" s="5"/>
      <c r="AM136" s="5"/>
      <c r="AN136" s="5"/>
      <c r="AO136" s="5"/>
      <c r="AP136" s="5"/>
      <c r="AQ136" s="5"/>
      <c r="AR136" s="5"/>
      <c r="AS136" s="5"/>
      <c r="AT136" s="5"/>
    </row>
    <row r="137" spans="21:46"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L137" s="5"/>
      <c r="AM137" s="5"/>
      <c r="AN137" s="5"/>
      <c r="AO137" s="5"/>
      <c r="AP137" s="5"/>
      <c r="AQ137" s="5"/>
      <c r="AR137" s="5"/>
      <c r="AS137" s="5"/>
      <c r="AT137" s="5"/>
    </row>
    <row r="138" spans="21:46"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L138" s="5"/>
      <c r="AM138" s="5"/>
      <c r="AN138" s="5"/>
      <c r="AO138" s="5"/>
      <c r="AP138" s="5"/>
      <c r="AQ138" s="5"/>
      <c r="AR138" s="5"/>
      <c r="AS138" s="5"/>
      <c r="AT138" s="5"/>
    </row>
    <row r="139" spans="21:46"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L139" s="5"/>
      <c r="AM139" s="5"/>
      <c r="AN139" s="5"/>
      <c r="AO139" s="5"/>
      <c r="AP139" s="5"/>
      <c r="AQ139" s="5"/>
      <c r="AR139" s="5"/>
      <c r="AS139" s="5"/>
      <c r="AT139" s="5"/>
    </row>
    <row r="140" spans="21:46"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L140" s="5"/>
      <c r="AM140" s="5"/>
      <c r="AN140" s="5"/>
      <c r="AO140" s="5"/>
      <c r="AP140" s="5"/>
      <c r="AQ140" s="5"/>
      <c r="AR140" s="5"/>
      <c r="AS140" s="5"/>
      <c r="AT140" s="5"/>
    </row>
    <row r="141" spans="21:46"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L141" s="5"/>
      <c r="AM141" s="5"/>
      <c r="AN141" s="5"/>
      <c r="AO141" s="5"/>
      <c r="AP141" s="5"/>
      <c r="AQ141" s="5"/>
      <c r="AR141" s="5"/>
      <c r="AS141" s="5"/>
      <c r="AT141" s="5"/>
    </row>
    <row r="142" spans="21:46"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L142" s="5"/>
      <c r="AM142" s="5"/>
      <c r="AN142" s="5"/>
      <c r="AO142" s="5"/>
      <c r="AP142" s="5"/>
      <c r="AQ142" s="5"/>
      <c r="AR142" s="5"/>
      <c r="AS142" s="5"/>
      <c r="AT142" s="5"/>
    </row>
    <row r="143" spans="21:46"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L143" s="5"/>
      <c r="AM143" s="5"/>
      <c r="AN143" s="5"/>
      <c r="AO143" s="5"/>
      <c r="AP143" s="5"/>
      <c r="AQ143" s="5"/>
      <c r="AR143" s="5"/>
      <c r="AS143" s="5"/>
      <c r="AT143" s="5"/>
    </row>
    <row r="144" spans="21:46"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L144" s="5"/>
      <c r="AM144" s="5"/>
      <c r="AN144" s="5"/>
      <c r="AO144" s="5"/>
      <c r="AP144" s="5"/>
      <c r="AQ144" s="5"/>
      <c r="AR144" s="5"/>
      <c r="AS144" s="5"/>
      <c r="AT144" s="5"/>
    </row>
    <row r="145" spans="21:46"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L145" s="5"/>
      <c r="AM145" s="5"/>
      <c r="AN145" s="5"/>
      <c r="AO145" s="5"/>
      <c r="AP145" s="5"/>
      <c r="AQ145" s="5"/>
      <c r="AR145" s="5"/>
      <c r="AS145" s="5"/>
      <c r="AT145" s="5"/>
    </row>
    <row r="146" spans="21:46"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L146" s="5"/>
      <c r="AM146" s="5"/>
      <c r="AN146" s="5"/>
      <c r="AO146" s="5"/>
      <c r="AP146" s="5"/>
      <c r="AQ146" s="5"/>
      <c r="AR146" s="5"/>
      <c r="AS146" s="5"/>
      <c r="AT146" s="5"/>
    </row>
    <row r="147" spans="21:46"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L147" s="5"/>
      <c r="AM147" s="5"/>
      <c r="AN147" s="5"/>
      <c r="AO147" s="5"/>
      <c r="AP147" s="5"/>
      <c r="AQ147" s="5"/>
      <c r="AR147" s="5"/>
      <c r="AS147" s="5"/>
      <c r="AT147" s="5"/>
    </row>
    <row r="148" spans="21:46"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L148" s="5"/>
      <c r="AM148" s="5"/>
      <c r="AN148" s="5"/>
      <c r="AO148" s="5"/>
      <c r="AP148" s="5"/>
      <c r="AQ148" s="5"/>
      <c r="AR148" s="5"/>
      <c r="AS148" s="5"/>
      <c r="AT148" s="5"/>
    </row>
    <row r="149" spans="21:46"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L149" s="5"/>
      <c r="AM149" s="5"/>
      <c r="AN149" s="5"/>
      <c r="AO149" s="5"/>
      <c r="AP149" s="5"/>
      <c r="AQ149" s="5"/>
      <c r="AR149" s="5"/>
      <c r="AS149" s="5"/>
      <c r="AT149" s="5"/>
    </row>
    <row r="150" spans="21:46"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L150" s="5"/>
      <c r="AM150" s="5"/>
      <c r="AN150" s="5"/>
      <c r="AO150" s="5"/>
      <c r="AP150" s="5"/>
      <c r="AQ150" s="5"/>
      <c r="AR150" s="5"/>
      <c r="AS150" s="5"/>
      <c r="AT150" s="5"/>
    </row>
    <row r="151" spans="21:46"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L151" s="5"/>
      <c r="AM151" s="5"/>
      <c r="AN151" s="5"/>
      <c r="AO151" s="5"/>
      <c r="AP151" s="5"/>
      <c r="AQ151" s="5"/>
      <c r="AR151" s="5"/>
      <c r="AS151" s="5"/>
      <c r="AT151" s="5"/>
    </row>
    <row r="152" spans="21:46"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L152" s="5"/>
      <c r="AM152" s="5"/>
      <c r="AN152" s="5"/>
      <c r="AO152" s="5"/>
      <c r="AP152" s="5"/>
      <c r="AQ152" s="5"/>
      <c r="AR152" s="5"/>
      <c r="AS152" s="5"/>
      <c r="AT152" s="5"/>
    </row>
    <row r="153" spans="21:46"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L153" s="5"/>
      <c r="AM153" s="5"/>
      <c r="AN153" s="5"/>
      <c r="AO153" s="5"/>
      <c r="AP153" s="5"/>
      <c r="AQ153" s="5"/>
      <c r="AR153" s="5"/>
      <c r="AS153" s="5"/>
      <c r="AT153" s="5"/>
    </row>
    <row r="154" spans="21:46"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L154" s="5"/>
      <c r="AM154" s="5"/>
      <c r="AN154" s="5"/>
      <c r="AO154" s="5"/>
      <c r="AP154" s="5"/>
      <c r="AQ154" s="5"/>
      <c r="AR154" s="5"/>
      <c r="AS154" s="5"/>
      <c r="AT154" s="5"/>
    </row>
    <row r="155" spans="21:46"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L155" s="5"/>
      <c r="AM155" s="5"/>
      <c r="AN155" s="5"/>
      <c r="AO155" s="5"/>
      <c r="AP155" s="5"/>
      <c r="AQ155" s="5"/>
      <c r="AR155" s="5"/>
      <c r="AS155" s="5"/>
      <c r="AT155" s="5"/>
    </row>
    <row r="156" spans="21:46"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L156" s="5"/>
      <c r="AM156" s="5"/>
      <c r="AN156" s="5"/>
      <c r="AO156" s="5"/>
      <c r="AP156" s="5"/>
      <c r="AQ156" s="5"/>
      <c r="AR156" s="5"/>
      <c r="AS156" s="5"/>
      <c r="AT156" s="5"/>
    </row>
    <row r="157" spans="21:46"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L157" s="5"/>
      <c r="AM157" s="5"/>
      <c r="AN157" s="5"/>
      <c r="AO157" s="5"/>
      <c r="AP157" s="5"/>
      <c r="AQ157" s="5"/>
      <c r="AR157" s="5"/>
      <c r="AS157" s="5"/>
      <c r="AT157" s="5"/>
    </row>
    <row r="158" spans="21:46"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L158" s="5"/>
      <c r="AM158" s="5"/>
      <c r="AN158" s="5"/>
      <c r="AO158" s="5"/>
      <c r="AP158" s="5"/>
      <c r="AQ158" s="5"/>
      <c r="AR158" s="5"/>
      <c r="AS158" s="5"/>
      <c r="AT158" s="5"/>
    </row>
    <row r="159" spans="21:46"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L159" s="5"/>
      <c r="AM159" s="5"/>
      <c r="AN159" s="5"/>
      <c r="AO159" s="5"/>
      <c r="AP159" s="5"/>
      <c r="AQ159" s="5"/>
      <c r="AR159" s="5"/>
      <c r="AS159" s="5"/>
      <c r="AT159" s="5"/>
    </row>
    <row r="160" spans="21:46"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L160" s="5"/>
      <c r="AM160" s="5"/>
      <c r="AN160" s="5"/>
      <c r="AO160" s="5"/>
      <c r="AP160" s="5"/>
      <c r="AQ160" s="5"/>
      <c r="AR160" s="5"/>
      <c r="AS160" s="5"/>
      <c r="AT160" s="5"/>
    </row>
    <row r="161" spans="21:46"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L161" s="5"/>
      <c r="AM161" s="5"/>
      <c r="AN161" s="5"/>
      <c r="AO161" s="5"/>
      <c r="AP161" s="5"/>
      <c r="AQ161" s="5"/>
      <c r="AR161" s="5"/>
      <c r="AS161" s="5"/>
      <c r="AT161" s="5"/>
    </row>
    <row r="162" spans="21:46"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L162" s="5"/>
      <c r="AM162" s="5"/>
      <c r="AN162" s="5"/>
      <c r="AO162" s="5"/>
      <c r="AP162" s="5"/>
      <c r="AQ162" s="5"/>
      <c r="AR162" s="5"/>
      <c r="AS162" s="5"/>
      <c r="AT162" s="5"/>
    </row>
    <row r="163" spans="21:46"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L163" s="5"/>
      <c r="AM163" s="5"/>
      <c r="AN163" s="5"/>
      <c r="AO163" s="5"/>
      <c r="AP163" s="5"/>
      <c r="AQ163" s="5"/>
      <c r="AR163" s="5"/>
      <c r="AS163" s="5"/>
      <c r="AT163" s="5"/>
    </row>
    <row r="164" spans="21:46"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L164" s="5"/>
      <c r="AM164" s="5"/>
      <c r="AN164" s="5"/>
      <c r="AO164" s="5"/>
      <c r="AP164" s="5"/>
      <c r="AQ164" s="5"/>
      <c r="AR164" s="5"/>
      <c r="AS164" s="5"/>
      <c r="AT164" s="5"/>
    </row>
    <row r="165" spans="21:46"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L165" s="5"/>
      <c r="AM165" s="5"/>
      <c r="AN165" s="5"/>
      <c r="AO165" s="5"/>
      <c r="AP165" s="5"/>
      <c r="AQ165" s="5"/>
      <c r="AR165" s="5"/>
      <c r="AS165" s="5"/>
      <c r="AT165" s="5"/>
    </row>
    <row r="166" spans="21:46"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L166" s="5"/>
      <c r="AM166" s="5"/>
      <c r="AN166" s="5"/>
      <c r="AO166" s="5"/>
      <c r="AP166" s="5"/>
      <c r="AQ166" s="5"/>
      <c r="AR166" s="5"/>
      <c r="AS166" s="5"/>
      <c r="AT166" s="5"/>
    </row>
    <row r="167" spans="21:46"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L167" s="5"/>
      <c r="AM167" s="5"/>
      <c r="AN167" s="5"/>
      <c r="AO167" s="5"/>
      <c r="AP167" s="5"/>
      <c r="AQ167" s="5"/>
      <c r="AR167" s="5"/>
      <c r="AS167" s="5"/>
      <c r="AT167" s="5"/>
    </row>
    <row r="168" spans="21:46"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L168" s="5"/>
      <c r="AM168" s="5"/>
      <c r="AN168" s="5"/>
      <c r="AO168" s="5"/>
      <c r="AP168" s="5"/>
      <c r="AQ168" s="5"/>
      <c r="AR168" s="5"/>
      <c r="AS168" s="5"/>
      <c r="AT168" s="5"/>
    </row>
    <row r="169" spans="21:46"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L169" s="5"/>
      <c r="AM169" s="5"/>
      <c r="AN169" s="5"/>
      <c r="AO169" s="5"/>
      <c r="AP169" s="5"/>
      <c r="AQ169" s="5"/>
      <c r="AR169" s="5"/>
      <c r="AS169" s="5"/>
      <c r="AT169" s="5"/>
    </row>
    <row r="170" spans="21:46"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L170" s="5"/>
      <c r="AM170" s="5"/>
      <c r="AN170" s="5"/>
      <c r="AO170" s="5"/>
      <c r="AP170" s="5"/>
      <c r="AQ170" s="5"/>
      <c r="AR170" s="5"/>
      <c r="AS170" s="5"/>
      <c r="AT170" s="5"/>
    </row>
    <row r="171" spans="21:46"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L171" s="5"/>
      <c r="AM171" s="5"/>
      <c r="AN171" s="5"/>
      <c r="AO171" s="5"/>
      <c r="AP171" s="5"/>
      <c r="AQ171" s="5"/>
      <c r="AR171" s="5"/>
      <c r="AS171" s="5"/>
      <c r="AT171" s="5"/>
    </row>
    <row r="172" spans="21:46"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L172" s="5"/>
      <c r="AM172" s="5"/>
      <c r="AN172" s="5"/>
      <c r="AO172" s="5"/>
      <c r="AP172" s="5"/>
      <c r="AQ172" s="5"/>
      <c r="AR172" s="5"/>
      <c r="AS172" s="5"/>
      <c r="AT172" s="5"/>
    </row>
    <row r="173" spans="21:46"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L173" s="5"/>
      <c r="AM173" s="5"/>
      <c r="AN173" s="5"/>
      <c r="AO173" s="5"/>
      <c r="AP173" s="5"/>
      <c r="AQ173" s="5"/>
      <c r="AR173" s="5"/>
      <c r="AS173" s="5"/>
      <c r="AT173" s="5"/>
    </row>
    <row r="174" spans="21:46"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L174" s="5"/>
      <c r="AM174" s="5"/>
      <c r="AN174" s="5"/>
      <c r="AO174" s="5"/>
      <c r="AP174" s="5"/>
      <c r="AQ174" s="5"/>
      <c r="AR174" s="5"/>
      <c r="AS174" s="5"/>
      <c r="AT174" s="5"/>
    </row>
    <row r="175" spans="21:46"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L175" s="5"/>
      <c r="AM175" s="5"/>
      <c r="AN175" s="5"/>
      <c r="AO175" s="5"/>
      <c r="AP175" s="5"/>
      <c r="AQ175" s="5"/>
      <c r="AR175" s="5"/>
      <c r="AS175" s="5"/>
      <c r="AT175" s="5"/>
    </row>
    <row r="176" spans="21:46"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L176" s="5"/>
      <c r="AM176" s="5"/>
      <c r="AN176" s="5"/>
      <c r="AO176" s="5"/>
      <c r="AP176" s="5"/>
      <c r="AQ176" s="5"/>
      <c r="AR176" s="5"/>
      <c r="AS176" s="5"/>
      <c r="AT176" s="5"/>
    </row>
    <row r="177" spans="21:46"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L177" s="5"/>
      <c r="AM177" s="5"/>
      <c r="AN177" s="5"/>
      <c r="AO177" s="5"/>
      <c r="AP177" s="5"/>
      <c r="AQ177" s="5"/>
      <c r="AR177" s="5"/>
      <c r="AS177" s="5"/>
      <c r="AT177" s="5"/>
    </row>
    <row r="178" spans="21:46"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L178" s="5"/>
      <c r="AM178" s="5"/>
      <c r="AN178" s="5"/>
      <c r="AO178" s="5"/>
      <c r="AP178" s="5"/>
      <c r="AQ178" s="5"/>
      <c r="AR178" s="5"/>
      <c r="AS178" s="5"/>
      <c r="AT178" s="5"/>
    </row>
    <row r="179" spans="21:46"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</row>
    <row r="180" spans="21:46"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</row>
    <row r="181" spans="21:46"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</row>
    <row r="182" spans="21:46"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</row>
    <row r="183" spans="21:46"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</row>
    <row r="184" spans="21:46"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</row>
    <row r="185" spans="21:46"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</row>
    <row r="186" spans="21:46"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</row>
    <row r="187" spans="21:46"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</row>
    <row r="188" spans="21:46"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</row>
    <row r="189" spans="21:46"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</row>
    <row r="190" spans="21:46"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</row>
    <row r="191" spans="21:46"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</row>
    <row r="192" spans="21:46"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</row>
    <row r="193" spans="21:31"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</row>
    <row r="194" spans="21:31"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</row>
    <row r="195" spans="21:31"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</row>
    <row r="196" spans="21:31"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</row>
    <row r="197" spans="21:31"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</row>
    <row r="198" spans="21:31"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</row>
    <row r="199" spans="21:31"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</row>
    <row r="200" spans="21:31"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</row>
    <row r="201" spans="21:31"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</row>
    <row r="202" spans="21:31"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</row>
    <row r="203" spans="21:31"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</row>
  </sheetData>
  <sheetProtection formatCells="0" formatColumns="0" formatRows="0" insertColumns="0" insertRows="0" insertHyperlinks="0" deleteColumns="0" deleteRows="0" sort="0" autoFilter="0" pivotTables="0"/>
  <mergeCells count="14">
    <mergeCell ref="O71:Q71"/>
    <mergeCell ref="E15:G15"/>
    <mergeCell ref="H15:J15"/>
    <mergeCell ref="J10:L10"/>
    <mergeCell ref="J11:L11"/>
    <mergeCell ref="G63:N63"/>
    <mergeCell ref="I64:N64"/>
    <mergeCell ref="Y24:AB24"/>
    <mergeCell ref="K49:L49"/>
    <mergeCell ref="L7:N7"/>
    <mergeCell ref="P61:R61"/>
    <mergeCell ref="A6:N6"/>
    <mergeCell ref="R52:R53"/>
    <mergeCell ref="T53:U53"/>
  </mergeCells>
  <phoneticPr fontId="0" type="noConversion"/>
  <printOptions horizontalCentered="1" verticalCentered="1"/>
  <pageMargins left="0" right="0" top="0" bottom="0.47244094488188981" header="0" footer="0"/>
  <pageSetup paperSize="9" scale="75" orientation="portrait" r:id="rId1"/>
  <headerFooter alignWithMargins="0"/>
  <rowBreaks count="1" manualBreakCount="1">
    <brk id="70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Draft Survey</vt:lpstr>
      <vt:lpstr>'Draft Survey'!Print_Area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Chief Mate Al Moataz Farrag</dc:creator>
  <cp:lastModifiedBy>Mukesh Mukul</cp:lastModifiedBy>
  <cp:lastPrinted>2026-03-06T05:46:21Z</cp:lastPrinted>
  <dcterms:created xsi:type="dcterms:W3CDTF">1996-10-14T23:33:28Z</dcterms:created>
  <dcterms:modified xsi:type="dcterms:W3CDTF">2026-03-19T09:22:04Z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2726d3b-6796-48f5-a53d-57abbe9f0891_Enabled">
    <vt:lpwstr>true</vt:lpwstr>
  </property>
  <property fmtid="{D5CDD505-2E9C-101B-9397-08002B2CF9AE}" pid="3" name="MSIP_Label_d2726d3b-6796-48f5-a53d-57abbe9f0891_SetDate">
    <vt:lpwstr>2024-02-18T19:08:38Z</vt:lpwstr>
  </property>
  <property fmtid="{D5CDD505-2E9C-101B-9397-08002B2CF9AE}" pid="4" name="MSIP_Label_d2726d3b-6796-48f5-a53d-57abbe9f0891_Method">
    <vt:lpwstr>Standard</vt:lpwstr>
  </property>
  <property fmtid="{D5CDD505-2E9C-101B-9397-08002B2CF9AE}" pid="5" name="MSIP_Label_d2726d3b-6796-48f5-a53d-57abbe9f0891_Name">
    <vt:lpwstr>Unclassified</vt:lpwstr>
  </property>
  <property fmtid="{D5CDD505-2E9C-101B-9397-08002B2CF9AE}" pid="6" name="MSIP_Label_d2726d3b-6796-48f5-a53d-57abbe9f0891_SiteId">
    <vt:lpwstr>4fc2f3aa-31c4-4dcb-b719-c6c16393e9d3</vt:lpwstr>
  </property>
  <property fmtid="{D5CDD505-2E9C-101B-9397-08002B2CF9AE}" pid="7" name="MSIP_Label_d2726d3b-6796-48f5-a53d-57abbe9f0891_ActionId">
    <vt:lpwstr>7d9535fb-7218-46ba-ae5d-18b3218bb313</vt:lpwstr>
  </property>
  <property fmtid="{D5CDD505-2E9C-101B-9397-08002B2CF9AE}" pid="8" name="MSIP_Label_d2726d3b-6796-48f5-a53d-57abbe9f0891_ContentBits">
    <vt:lpwstr>0</vt:lpwstr>
  </property>
</Properties>
</file>